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5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จ่ายจากรายรับ" sheetId="10" r:id="rId10"/>
    <sheet name="คงเหลือ" sheetId="11" r:id="rId11"/>
    <sheet name="Sheet1" sheetId="12" r:id="rId12"/>
  </sheets>
  <definedNames>
    <definedName name="_xlnm.Print_Area" localSheetId="0">'งบทดลอง'!$A$1:$D$71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<sst xmlns="http://schemas.openxmlformats.org/spreadsheetml/2006/main" count="965" uniqueCount="540">
  <si>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</si>
  <si>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</si>
  <si>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</si>
  <si>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</si>
  <si>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</si>
  <si>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</si>
  <si>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</si>
  <si>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</si>
  <si>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</si>
  <si>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</si>
  <si>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</si>
  <si>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</si>
  <si>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</si>
  <si>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</si>
  <si>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</si>
  <si>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</si>
  <si>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</si>
  <si>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</si>
  <si>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</si>
  <si>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</si>
  <si>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</si>
  <si>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</si>
  <si>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</si>
  <si>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</si>
  <si>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</si>
  <si>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</si>
  <si>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</si>
  <si>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</si>
  <si>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</si>
  <si>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</si>
  <si>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</si>
  <si>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</si>
  <si>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</si>
  <si>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</si>
  <si>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</si>
  <si>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</si>
  <si>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</si>
  <si>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</si>
  <si>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</si>
  <si>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</si>
  <si>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</si>
  <si>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</si>
  <si>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</si>
  <si>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</si>
  <si>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</si>
  <si>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</si>
  <si>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</si>
  <si>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</si>
  <si>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</si>
  <si>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</si>
  <si>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</si>
  <si>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</si>
  <si>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</si>
  <si>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</si>
  <si>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</si>
  <si>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</si>
  <si>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</si>
  <si>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</si>
  <si>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</si>
  <si>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</si>
  <si>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</si>
  <si>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</si>
  <si>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</si>
  <si>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</si>
  <si>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</si>
  <si>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</si>
  <si>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</si>
  <si>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</si>
  <si>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</si>
  <si>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</si>
  <si>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</si>
  <si>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</si>
  <si>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</si>
  <si>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</si>
  <si>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</si>
  <si>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</si>
  <si>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</si>
  <si>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</si>
  <si>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</si>
  <si>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</si>
  <si>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</si>
  <si>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</si>
  <si>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</si>
  <si>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</si>
  <si>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</si>
  <si>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</si>
  <si>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</si>
  <si>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</si>
  <si>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</si>
  <si>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</si>
  <si>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</si>
  <si>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</si>
  <si>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</si>
  <si>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</si>
  <si>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</si>
  <si>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</si>
  <si>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</si>
  <si>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</si>
  <si>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</si>
  <si>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</si>
  <si>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</si>
  <si>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</si>
  <si>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</si>
  <si>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</si>
  <si>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</si>
  <si>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</si>
  <si>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</si>
  <si>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</si>
  <si>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</si>
  <si>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</si>
  <si>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</si>
  <si>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</si>
  <si>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</si>
  <si>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</si>
  <si>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</si>
  <si>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</si>
  <si>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</si>
  <si>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</si>
  <si>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</si>
  <si>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</si>
  <si>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</si>
  <si>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</si>
  <si>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</si>
  <si>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</si>
  <si>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</si>
  <si>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</si>
  <si>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</si>
  <si>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</si>
  <si>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</si>
  <si>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</si>
  <si>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</si>
  <si>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</si>
  <si>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</si>
  <si>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</si>
  <si>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</si>
  <si>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</si>
  <si>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</si>
  <si>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</si>
  <si>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</si>
  <si>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</si>
  <si>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</si>
  <si>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</si>
  <si>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</si>
  <si>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</si>
  <si>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</si>
  <si>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</si>
  <si>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</si>
  <si>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</si>
  <si>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</si>
  <si>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</si>
  <si>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</si>
  <si>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</si>
  <si>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</si>
  <si>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</si>
  <si>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</si>
  <si>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</si>
  <si>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</si>
  <si>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</si>
  <si>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</si>
  <si>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</si>
  <si>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</si>
  <si>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</si>
  <si>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</si>
  <si>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</si>
  <si>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</si>
  <si>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</si>
  <si>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</si>
  <si>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</si>
  <si>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</si>
  <si>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</si>
  <si>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</si>
  <si>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</si>
  <si>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</si>
  <si>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</si>
  <si>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</si>
  <si>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</si>
  <si>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</si>
  <si>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</si>
  <si>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</si>
  <si>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</si>
  <si>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</si>
  <si>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</si>
  <si>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</si>
  <si>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</si>
  <si>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</si>
  <si>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</si>
  <si>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</si>
  <si>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</si>
  <si>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</si>
  <si>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</si>
  <si>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</si>
  <si>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</si>
  <si>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</si>
  <si>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</si>
  <si>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</si>
  <si>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</si>
  <si>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</si>
  <si>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</si>
  <si>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</si>
  <si>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</si>
  <si>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</si>
  <si>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</si>
  <si>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</si>
  <si>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</si>
  <si>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</si>
  <si>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</si>
  <si>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</si>
  <si>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</si>
  <si>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</si>
  <si>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</si>
  <si>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</si>
  <si>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</si>
  <si>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</si>
  <si>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</si>
  <si>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</si>
  <si>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</si>
  <si>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</si>
  <si>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</si>
  <si>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</si>
  <si>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</si>
  <si>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</si>
  <si>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</si>
  <si>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</si>
  <si>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</si>
  <si>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</si>
  <si>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</si>
  <si>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</si>
  <si>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</si>
  <si>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</si>
  <si>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</si>
  <si>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</si>
  <si>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</si>
  <si>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</si>
  <si>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กลุ่มทำไร่มันสำปะหลัง  หมู่  1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</si>
  <si>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</si>
  <si>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</si>
  <si>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</si>
  <si>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</si>
  <si>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</si>
  <si>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</si>
  <si>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</si>
  <si>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</si>
  <si>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</si>
  <si>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</si>
  <si>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</si>
  <si>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</si>
  <si>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</si>
  <si>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</si>
  <si>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</si>
  <si>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</si>
  <si>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</si>
  <si>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</si>
  <si>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</si>
  <si>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</si>
  <si>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</si>
  <si>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</si>
  <si>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</si>
  <si>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</si>
  <si>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</si>
  <si>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</si>
  <si>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</si>
  <si>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</si>
  <si>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</si>
  <si>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</si>
  <si>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</si>
  <si>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</si>
  <si>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</si>
  <si>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</si>
  <si>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</si>
  <si>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</si>
  <si>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</si>
  <si>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</si>
  <si>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</si>
  <si>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</si>
  <si>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</si>
  <si>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</si>
  <si>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</si>
  <si>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</si>
  <si>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</si>
  <si>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</si>
  <si>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</si>
  <si>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</si>
  <si>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</si>
  <si>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</si>
  <si>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</si>
  <si>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</si>
  <si>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</si>
  <si>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</si>
  <si>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</si>
  <si>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</si>
  <si>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</si>
  <si>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</si>
  <si>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</si>
  <si>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</si>
  <si>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</si>
  <si>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</si>
  <si>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</si>
  <si>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</si>
  <si>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</si>
  <si>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</si>
  <si>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</si>
  <si>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</si>
  <si>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</si>
  <si>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</si>
  <si>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</si>
  <si>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</si>
  <si>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</si>
  <si>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</si>
  <si>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</si>
  <si>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</si>
  <si>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</si>
  <si>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</si>
  <si>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</si>
  <si>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</si>
  <si>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</si>
  <si>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</si>
  <si>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</si>
  <si>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</si>
  <si>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</si>
  <si>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</si>
  <si>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</si>
  <si>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</si>
  <si>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</si>
  <si>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</si>
  <si>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</si>
  <si>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</si>
  <si>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</si>
  <si>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</si>
  <si>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</si>
  <si>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</si>
  <si>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</si>
  <si>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</si>
  <si>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</si>
  <si>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</si>
  <si>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</si>
  <si>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</si>
  <si>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</si>
  <si>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</si>
  <si>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</si>
  <si>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</si>
  <si>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</si>
  <si>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</si>
  <si>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</si>
  <si>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</si>
  <si>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</si>
  <si>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</si>
  <si>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</si>
  <si>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</si>
  <si>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</si>
  <si>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</si>
  <si>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</si>
  <si>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</si>
  <si>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</si>
  <si>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</si>
  <si>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</si>
  <si>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</si>
  <si>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</si>
  <si>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</si>
  <si>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</si>
  <si>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</si>
  <si>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</si>
  <si>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</si>
  <si>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</si>
  <si>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</si>
  <si>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</si>
  <si>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</si>
  <si>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</si>
  <si>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</si>
  <si>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</si>
  <si>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</si>
  <si>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</si>
  <si>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</si>
  <si>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</si>
  <si>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</si>
  <si>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</si>
  <si>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</si>
  <si>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</si>
  <si>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</si>
  <si>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</si>
  <si>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</si>
  <si>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</si>
  <si>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</si>
  <si>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</si>
  <si>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</si>
  <si>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</si>
  <si>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</si>
  <si>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</si>
  <si>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</si>
  <si>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</si>
  <si>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</si>
  <si>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</si>
  <si>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</si>
  <si>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</si>
  <si>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</si>
  <si>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</si>
  <si>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</si>
  <si>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</si>
  <si>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</si>
  <si>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</si>
  <si>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</si>
  <si>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</si>
  <si>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</si>
  <si>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7/2557</t>
  </si>
  <si>
    <t>11/2557</t>
  </si>
  <si>
    <t>21/2557</t>
  </si>
  <si>
    <t>14/2557</t>
  </si>
  <si>
    <t>8/2557</t>
  </si>
  <si>
    <t>20/2557</t>
  </si>
  <si>
    <t>15/2557</t>
  </si>
  <si>
    <t>13/2557</t>
  </si>
  <si>
    <t>17/2557</t>
  </si>
  <si>
    <t>กลุ่มปลูกมันสำปะหลัง หมู่ 8</t>
  </si>
  <si>
    <t>9/2557</t>
  </si>
  <si>
    <t>19/2557</t>
  </si>
  <si>
    <t>กลุ่มเลี้ยงหมูบ้านคลองยาง ม. 9 (โกรกกัดลิ้น)</t>
  </si>
  <si>
    <t>10/2557</t>
  </si>
  <si>
    <t>3/2557</t>
  </si>
  <si>
    <t>กลุ่มเกษตรกรปลูกผัดเลี้ยงปลา หมู่ 11</t>
  </si>
  <si>
    <t>12/2557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</si>
  <si>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</si>
  <si>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</si>
  <si>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</si>
  <si>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</si>
  <si>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</si>
  <si>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</si>
  <si>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</si>
  <si>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</si>
  <si>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</si>
  <si>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</si>
  <si>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</si>
  <si>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</si>
  <si>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</si>
  <si>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</si>
  <si>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</si>
  <si>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</si>
  <si>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</si>
  <si>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</si>
  <si>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</si>
  <si>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</si>
  <si>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</si>
  <si>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</si>
  <si>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</si>
  <si>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</si>
  <si>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เงินมัดจำประกันสัญญา-หลักประกันซอง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</si>
  <si>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</si>
  <si>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</si>
  <si>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</si>
  <si>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</si>
  <si>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</si>
  <si>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</si>
  <si>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</si>
  <si>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</si>
  <si>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</si>
  <si>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</si>
  <si>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</si>
  <si>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บัญชีรายจ่ายรอจ่าย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</si>
  <si>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</si>
  <si>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</si>
  <si>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</si>
  <si>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</si>
  <si>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</si>
  <si>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</si>
  <si>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</si>
  <si>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</si>
  <si>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</si>
  <si>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</si>
  <si>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</si>
  <si>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</si>
  <si>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</si>
  <si>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</si>
  <si>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</si>
  <si>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5 ก.ย. 57</t>
  </si>
  <si>
    <t>06518233</t>
  </si>
  <si>
    <t>หมายเหตุ 1  ประกอบงบทดลอง  ณ  วันที่    30  พฤศจิกายน  2557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</si>
  <si>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</si>
  <si>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</si>
  <si>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</si>
  <si>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</si>
  <si>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</si>
  <si>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</si>
  <si>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เงินอุดหนุนทั่วไประบุวัตถุประสงค์-เงินสมทบกองทุนประกันสังตม</t>
  </si>
  <si>
    <t>ค่าใช้จ่ายในการก่อสร้างศูนย์พัฒนาคุณภาพชีวิตและส่งเสริมอาชีพผู้สูงอายุ</t>
  </si>
  <si>
    <t>ค่าใช้จ่ายในการจัดซื้อครุภัณฑ์ของศูนย์พัฒนาคุณภาพชีวิตและส่งเสริมอาชีพผู้สูงอายุ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</si>
  <si>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ค่าใช้จ่ายในการดำเนินกิจกรรมของศูนย์พัฒนาคุณภาพชีวิตและส่งเสริมอาชีพผู้สูงอายุ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</si>
  <si>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</si>
  <si>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</si>
  <si>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</si>
  <si>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</si>
  <si>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 xml:space="preserve">  30  พฤศจิกายน  2557</t>
  </si>
  <si>
    <t>ณ  วันที่  30  พฤศจิกายน  2557</t>
  </si>
  <si>
    <t>หมายเหตุ 1 ประกอบรายงานรับ- จ่ายเงินสด ณ วันที่  30  พฤศจิกายน  2557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</si>
  <si>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</si>
  <si>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</si>
  <si>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</si>
  <si>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</si>
  <si>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</si>
  <si>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</si>
  <si>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</si>
  <si>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</si>
  <si>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หมายเหตุ 2  ประกอบงบทดลอง  ณ  วันที่    30  พฤศจิกายน  2557</t>
  </si>
  <si>
    <t>.</t>
  </si>
  <si>
    <t>4/2558</t>
  </si>
  <si>
    <t>กลุ่มทำหินทราย หมู่ 11</t>
  </si>
  <si>
    <t>5/2558</t>
  </si>
  <si>
    <t>6/2558</t>
  </si>
  <si>
    <t>7/2558</t>
  </si>
  <si>
    <t>ค่าใช้จ่ายในการจัดซื้อครุภัณฑ์ของศูนย์พัฒนาคุณภาพชิวิตและส่งเสริมอาชีพผู้สูงอายุ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</si>
  <si>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ค่าใช้จ่ายในการดำเนินกิจกรรมของศูนย์พัฒนาคุณภาพชีวิตและส่งเสริมอาชีพผู้สุงอายุ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</si>
  <si>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</si>
  <si>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</si>
  <si>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>ประจำเดือน  พฤศจิกายน  2557</t>
  </si>
  <si>
    <t>หมายเหตุ 2  ประกอบรายงาน รับ - จ่าย เงินสด  ณ  วันที่  30  พฤศจิกายน  2557</t>
  </si>
  <si>
    <t>หมายเหตุ 3  ประกอบรายงาน รับ - จ่าย เงินสด  ณ  วันที่  30  พฤศจิกายน 2557</t>
  </si>
  <si>
    <t>หมายเหตุ 4  ประกอบรายงาน รับ - จ่าย เงินสด  ณ  วันที่  30  พฤศจิกายน  2557</t>
  </si>
  <si>
    <t>หมายเหตุ 5  ประกอบรายงาน รับ - จ่าย เงินสด  ณ  วันที่  30  พฤศจิกายน  2557</t>
  </si>
  <si>
    <t>วันที่  1  พฤศจิกายน   2557  ถึง   30  พฤศจิกายน  2557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</si>
  <si>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</si>
  <si>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</si>
  <si>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</si>
  <si>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>เดือน  พฤศจิกายน  2557</t>
  </si>
  <si>
    <t>ยอดเงินคงเหลือตามรายงานธนาคาร ณ วันที่ 30 พฤศจิกายน 2557</t>
  </si>
  <si>
    <t>4 พ.ย. 57</t>
  </si>
  <si>
    <t>07270973</t>
  </si>
  <si>
    <t>13 พ.ย. 57</t>
  </si>
  <si>
    <t>08412649</t>
  </si>
  <si>
    <t>14 พ.ย. 57</t>
  </si>
  <si>
    <t>08412654</t>
  </si>
  <si>
    <t>26 พ.ย. 57</t>
  </si>
  <si>
    <t>08412668</t>
  </si>
  <si>
    <t>27 พ.ย. 57</t>
  </si>
  <si>
    <t>08412676</t>
  </si>
  <si>
    <t>28 พ.ย. 57</t>
  </si>
  <si>
    <t>08412678</t>
  </si>
  <si>
    <t>08412679</t>
  </si>
  <si>
    <t>08412680</t>
  </si>
  <si>
    <t>21 พ.ย. 57</t>
  </si>
  <si>
    <t>08412665</t>
  </si>
  <si>
    <t>ยอดเงินคงเหลือตามบัญชี  ณ  วันที่  30  พฤศจิกายน   2557</t>
  </si>
  <si>
    <t>(ลงชื่อ)..........................................................วันที่  30 พฤศจิกายน  2557</t>
  </si>
  <si>
    <t>(ลงชื่อ)..................................วันที่  30 พฤศจิกายน  2557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</si>
</sst>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4" fillId="0" borderId="0" xfId="33" applyFont="1" applyAlignment="1">
      <alignment horizontal="left"/>
    </xf>
    <xf numFmtId="194" fontId="5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4"/>
  <sheetViews>
    <sheetView view="pageBreakPreview" zoomScaleSheetLayoutView="100" workbookViewId="0" topLeftCell="A1">
      <selection activeCell="A47" sqref="A47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69" t="s">
        <v>0</v>
      </c>
      <c r="B1" s="269"/>
      <c r="C1" s="269"/>
      <c r="D1" s="269"/>
    </row>
    <row r="2" spans="1:4" ht="16.5" customHeight="1">
      <c r="A2" s="269" t="s">
        <v>1</v>
      </c>
      <c r="B2" s="269"/>
      <c r="C2" s="269"/>
      <c r="D2" s="269"/>
    </row>
    <row r="3" spans="1:4" ht="16.5" customHeight="1">
      <c r="A3" s="269" t="s">
        <v>489</v>
      </c>
      <c r="B3" s="269"/>
      <c r="C3" s="269"/>
      <c r="D3" s="269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386</v>
      </c>
      <c r="C5" s="142">
        <v>64</v>
      </c>
      <c r="D5" s="140"/>
    </row>
    <row r="6" spans="1:4" s="204" customFormat="1" ht="16.5" customHeight="1">
      <c r="A6" s="207" t="s">
        <v>387</v>
      </c>
      <c r="B6" s="208" t="s">
        <v>388</v>
      </c>
      <c r="C6" s="83">
        <v>11617919.98</v>
      </c>
      <c r="D6" s="140"/>
    </row>
    <row r="7" spans="1:4" ht="16.5" customHeight="1">
      <c r="A7" s="207" t="s">
        <v>76</v>
      </c>
      <c r="B7" s="208" t="s">
        <v>388</v>
      </c>
      <c r="C7" s="83">
        <v>6108532.18</v>
      </c>
      <c r="D7" s="140"/>
    </row>
    <row r="8" spans="1:4" ht="16.5" customHeight="1">
      <c r="A8" s="207" t="s">
        <v>77</v>
      </c>
      <c r="B8" s="208" t="s">
        <v>388</v>
      </c>
      <c r="C8" s="83">
        <v>108628.12</v>
      </c>
      <c r="D8" s="82"/>
    </row>
    <row r="9" spans="1:4" ht="16.5" customHeight="1">
      <c r="A9" s="207" t="s">
        <v>400</v>
      </c>
      <c r="B9" s="208" t="s">
        <v>388</v>
      </c>
      <c r="C9" s="83">
        <v>1270.67</v>
      </c>
      <c r="D9" s="82"/>
    </row>
    <row r="10" spans="1:4" ht="16.5" customHeight="1">
      <c r="A10" s="207" t="s">
        <v>399</v>
      </c>
      <c r="B10" s="208" t="s">
        <v>388</v>
      </c>
      <c r="C10" s="83">
        <v>5000000</v>
      </c>
      <c r="D10" s="82"/>
    </row>
    <row r="11" spans="1:4" ht="16.5" customHeight="1">
      <c r="A11" s="207" t="s">
        <v>78</v>
      </c>
      <c r="B11" s="208" t="s">
        <v>389</v>
      </c>
      <c r="C11" s="83">
        <v>11668823.19</v>
      </c>
      <c r="D11" s="82"/>
    </row>
    <row r="12" spans="1:4" ht="16.5" customHeight="1">
      <c r="A12" s="207" t="s">
        <v>32</v>
      </c>
      <c r="B12" s="208" t="s">
        <v>278</v>
      </c>
      <c r="C12" s="83">
        <v>155583</v>
      </c>
      <c r="D12" s="82"/>
    </row>
    <row r="13" spans="1:4" ht="16.5" customHeight="1">
      <c r="A13" s="207" t="s">
        <v>354</v>
      </c>
      <c r="B13" s="208" t="s">
        <v>284</v>
      </c>
      <c r="C13" s="83">
        <v>486120</v>
      </c>
      <c r="D13" s="82"/>
    </row>
    <row r="14" spans="1:4" ht="16.5" customHeight="1">
      <c r="A14" s="207" t="s">
        <v>355</v>
      </c>
      <c r="B14" s="208" t="s">
        <v>291</v>
      </c>
      <c r="C14" s="83">
        <v>679160</v>
      </c>
      <c r="D14" s="82"/>
    </row>
    <row r="15" spans="1:4" ht="16.5" customHeight="1">
      <c r="A15" s="207" t="s">
        <v>356</v>
      </c>
      <c r="B15" s="208" t="s">
        <v>291</v>
      </c>
      <c r="C15" s="83">
        <v>28995</v>
      </c>
      <c r="D15" s="82"/>
    </row>
    <row r="16" spans="1:4" ht="16.5" customHeight="1">
      <c r="A16" s="207" t="s">
        <v>357</v>
      </c>
      <c r="B16" s="208" t="s">
        <v>291</v>
      </c>
      <c r="C16" s="83">
        <v>200170</v>
      </c>
      <c r="D16" s="82"/>
    </row>
    <row r="17" spans="1:4" ht="16.5" customHeight="1">
      <c r="A17" s="207" t="s">
        <v>6</v>
      </c>
      <c r="B17" s="208" t="s">
        <v>300</v>
      </c>
      <c r="C17" s="83">
        <v>60029.25</v>
      </c>
      <c r="D17" s="82"/>
    </row>
    <row r="18" spans="1:4" ht="16.5" customHeight="1">
      <c r="A18" s="207" t="s">
        <v>7</v>
      </c>
      <c r="B18" s="208" t="s">
        <v>306</v>
      </c>
      <c r="C18" s="83">
        <v>237713.8</v>
      </c>
      <c r="D18" s="82"/>
    </row>
    <row r="19" spans="1:4" ht="16.5" customHeight="1">
      <c r="A19" s="207" t="s">
        <v>8</v>
      </c>
      <c r="B19" s="208" t="s">
        <v>311</v>
      </c>
      <c r="C19" s="83">
        <v>102212</v>
      </c>
      <c r="D19" s="82"/>
    </row>
    <row r="20" spans="1:4" ht="16.5" customHeight="1">
      <c r="A20" s="207" t="s">
        <v>9</v>
      </c>
      <c r="B20" s="208" t="s">
        <v>324</v>
      </c>
      <c r="C20" s="83">
        <v>30994.27</v>
      </c>
      <c r="D20" s="82"/>
    </row>
    <row r="21" spans="1:4" ht="16.5" customHeight="1">
      <c r="A21" s="205" t="s">
        <v>56</v>
      </c>
      <c r="B21" s="208" t="s">
        <v>330</v>
      </c>
      <c r="C21" s="83">
        <v>35000</v>
      </c>
      <c r="D21" s="82"/>
    </row>
    <row r="22" spans="1:4" ht="16.5" customHeight="1">
      <c r="A22" s="205" t="s">
        <v>33</v>
      </c>
      <c r="B22" s="208" t="s">
        <v>343</v>
      </c>
      <c r="C22" s="83">
        <v>400800</v>
      </c>
      <c r="D22" s="82"/>
    </row>
    <row r="23" spans="1:4" ht="16.5" customHeight="1">
      <c r="A23" s="207" t="s">
        <v>358</v>
      </c>
      <c r="B23" s="208" t="s">
        <v>390</v>
      </c>
      <c r="C23" s="83">
        <v>2896.95</v>
      </c>
      <c r="D23" s="82"/>
    </row>
    <row r="24" spans="1:4" ht="16.5" customHeight="1">
      <c r="A24" s="205" t="s">
        <v>395</v>
      </c>
      <c r="B24" s="208" t="s">
        <v>371</v>
      </c>
      <c r="C24" s="83">
        <v>1026560</v>
      </c>
      <c r="D24" s="82"/>
    </row>
    <row r="25" spans="1:4" ht="16.5" customHeight="1">
      <c r="A25" s="205" t="s">
        <v>125</v>
      </c>
      <c r="B25" s="208" t="s">
        <v>373</v>
      </c>
      <c r="C25" s="83">
        <v>0</v>
      </c>
      <c r="D25" s="82"/>
    </row>
    <row r="26" spans="1:4" ht="16.5" customHeight="1">
      <c r="A26" s="207" t="s">
        <v>478</v>
      </c>
      <c r="B26" s="208" t="s">
        <v>479</v>
      </c>
      <c r="C26" s="83">
        <v>36000</v>
      </c>
      <c r="D26" s="82"/>
    </row>
    <row r="27" spans="1:4" ht="16.5" customHeight="1">
      <c r="A27" s="207" t="s">
        <v>480</v>
      </c>
      <c r="B27" s="208" t="s">
        <v>477</v>
      </c>
      <c r="C27" s="83">
        <v>1800</v>
      </c>
      <c r="D27" s="82"/>
    </row>
    <row r="28" spans="1:4" ht="16.5" customHeight="1">
      <c r="A28" s="205" t="s">
        <v>11</v>
      </c>
      <c r="B28" s="208" t="s">
        <v>391</v>
      </c>
      <c r="C28" s="83"/>
      <c r="D28" s="82">
        <v>3572730.31</v>
      </c>
    </row>
    <row r="29" spans="1:4" ht="16.5" customHeight="1">
      <c r="A29" s="207" t="s">
        <v>398</v>
      </c>
      <c r="B29" s="208" t="s">
        <v>397</v>
      </c>
      <c r="C29" s="83"/>
      <c r="D29" s="141">
        <v>64135</v>
      </c>
    </row>
    <row r="30" spans="1:4" ht="16.5" customHeight="1">
      <c r="A30" s="207" t="s">
        <v>360</v>
      </c>
      <c r="B30" s="208" t="s">
        <v>396</v>
      </c>
      <c r="C30" s="83"/>
      <c r="D30" s="139">
        <v>340000</v>
      </c>
    </row>
    <row r="31" spans="1:4" ht="16.5" customHeight="1">
      <c r="A31" s="207" t="s">
        <v>361</v>
      </c>
      <c r="B31" s="208" t="s">
        <v>372</v>
      </c>
      <c r="C31" s="83"/>
      <c r="D31" s="139">
        <v>2387219.11</v>
      </c>
    </row>
    <row r="32" spans="1:4" ht="16.5" customHeight="1">
      <c r="A32" s="207" t="s">
        <v>10</v>
      </c>
      <c r="B32" s="208" t="s">
        <v>392</v>
      </c>
      <c r="C32" s="83"/>
      <c r="D32" s="82">
        <v>16920774.54</v>
      </c>
    </row>
    <row r="33" spans="1:4" ht="16.5" customHeight="1">
      <c r="A33" s="207" t="s">
        <v>135</v>
      </c>
      <c r="B33" s="208" t="s">
        <v>393</v>
      </c>
      <c r="C33" s="83"/>
      <c r="D33" s="82">
        <v>12809280.45</v>
      </c>
    </row>
    <row r="34" spans="1:4" ht="16.5" customHeight="1">
      <c r="A34" s="207" t="s">
        <v>474</v>
      </c>
      <c r="B34" s="208" t="s">
        <v>476</v>
      </c>
      <c r="C34" s="83"/>
      <c r="D34" s="82">
        <v>607300</v>
      </c>
    </row>
    <row r="35" spans="1:4" ht="16.5" customHeight="1">
      <c r="A35" s="207" t="s">
        <v>475</v>
      </c>
      <c r="B35" s="208" t="s">
        <v>477</v>
      </c>
      <c r="C35" s="83"/>
      <c r="D35" s="82">
        <v>104500</v>
      </c>
    </row>
    <row r="36" spans="1:4" ht="16.5" customHeight="1">
      <c r="A36" s="207" t="s">
        <v>487</v>
      </c>
      <c r="B36" s="208" t="s">
        <v>479</v>
      </c>
      <c r="C36" s="83"/>
      <c r="D36" s="82">
        <v>62685</v>
      </c>
    </row>
    <row r="37" spans="1:4" ht="16.5" customHeight="1">
      <c r="A37" s="207" t="s">
        <v>484</v>
      </c>
      <c r="B37" s="208" t="s">
        <v>485</v>
      </c>
      <c r="C37" s="83"/>
      <c r="D37" s="82">
        <v>1049248</v>
      </c>
    </row>
    <row r="38" spans="1:4" ht="16.5" customHeight="1">
      <c r="A38" s="207" t="s">
        <v>486</v>
      </c>
      <c r="B38" s="208" t="s">
        <v>479</v>
      </c>
      <c r="C38" s="83"/>
      <c r="D38" s="82">
        <v>71400</v>
      </c>
    </row>
    <row r="39" spans="1:4" ht="16.5" customHeight="1">
      <c r="A39" s="207"/>
      <c r="B39" s="208"/>
      <c r="C39" s="83"/>
      <c r="D39" s="82"/>
    </row>
    <row r="40" spans="1:4" ht="16.5" customHeight="1">
      <c r="A40" s="207"/>
      <c r="B40" s="209"/>
      <c r="C40" s="83"/>
      <c r="D40" s="83"/>
    </row>
    <row r="41" spans="2:5" ht="16.5" customHeight="1">
      <c r="B41" s="210"/>
      <c r="C41" s="13">
        <f>SUM(C5:C38)</f>
        <v>37989272.410000004</v>
      </c>
      <c r="D41" s="14">
        <f>SUM(D28:D40)</f>
        <v>37989272.41</v>
      </c>
      <c r="E41" s="211"/>
    </row>
    <row r="42" spans="2:5" ht="16.5" customHeight="1">
      <c r="B42" s="210"/>
      <c r="C42" s="258"/>
      <c r="E42" s="207"/>
    </row>
    <row r="43" spans="1:4" ht="16.5" customHeight="1">
      <c r="A43" s="271" t="s">
        <v>128</v>
      </c>
      <c r="B43" s="271"/>
      <c r="C43" s="271"/>
      <c r="D43" s="271"/>
    </row>
    <row r="44" spans="1:4" ht="16.5" customHeight="1">
      <c r="A44" s="271" t="s">
        <v>129</v>
      </c>
      <c r="B44" s="271"/>
      <c r="C44" s="271"/>
      <c r="D44" s="271"/>
    </row>
    <row r="45" spans="1:4" ht="16.5" customHeight="1">
      <c r="A45" s="212"/>
      <c r="B45" s="212"/>
      <c r="C45" s="212"/>
      <c r="D45" s="212"/>
    </row>
    <row r="46" spans="1:4" ht="16.5" customHeight="1">
      <c r="A46" s="213" t="s">
        <v>127</v>
      </c>
      <c r="B46" s="212"/>
      <c r="C46" s="17"/>
      <c r="D46" s="17"/>
    </row>
    <row r="47" spans="1:4" ht="16.5" customHeight="1">
      <c r="A47" s="204" t="s">
        <v>126</v>
      </c>
      <c r="B47" s="204"/>
      <c r="C47" s="8"/>
      <c r="D47" s="8"/>
    </row>
    <row r="48" spans="1:4" ht="16.5" customHeight="1">
      <c r="A48" s="204" t="s">
        <v>15</v>
      </c>
      <c r="B48" s="204"/>
      <c r="C48" s="8"/>
      <c r="D48" s="8"/>
    </row>
    <row r="49" spans="1:4" ht="16.5" customHeight="1">
      <c r="A49" s="200" t="s">
        <v>488</v>
      </c>
      <c r="B49" s="200"/>
      <c r="C49" s="128"/>
      <c r="D49" s="128"/>
    </row>
    <row r="50" spans="1:4" ht="16.5" customHeight="1">
      <c r="A50" s="200"/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00"/>
      <c r="B53" s="200"/>
      <c r="C53" s="128"/>
      <c r="D53" s="128"/>
    </row>
    <row r="54" spans="1:4" ht="16.5" customHeight="1">
      <c r="A54" s="200"/>
      <c r="B54" s="200"/>
      <c r="C54" s="128"/>
      <c r="D54" s="128"/>
    </row>
    <row r="55" spans="1:4" ht="16.5" customHeight="1">
      <c r="A55" s="270" t="s">
        <v>473</v>
      </c>
      <c r="B55" s="270"/>
      <c r="C55" s="270"/>
      <c r="D55" s="270"/>
    </row>
    <row r="56" spans="1:4" ht="16.5" customHeight="1">
      <c r="A56" s="270" t="s">
        <v>17</v>
      </c>
      <c r="B56" s="270"/>
      <c r="C56" s="270"/>
      <c r="D56" s="270"/>
    </row>
    <row r="57" spans="1:4" ht="16.5" customHeight="1">
      <c r="A57" s="213" t="s">
        <v>18</v>
      </c>
      <c r="B57" s="204"/>
      <c r="C57" s="8"/>
      <c r="D57" s="88">
        <v>350043</v>
      </c>
    </row>
    <row r="58" spans="1:4" ht="16.5" customHeight="1">
      <c r="A58" s="213" t="s">
        <v>401</v>
      </c>
      <c r="B58" s="204"/>
      <c r="C58" s="8"/>
      <c r="D58" s="88">
        <v>6585.45</v>
      </c>
    </row>
    <row r="59" spans="1:4" ht="16.5" customHeight="1">
      <c r="A59" s="201" t="s">
        <v>19</v>
      </c>
      <c r="D59" s="15">
        <v>7902.54</v>
      </c>
    </row>
    <row r="60" spans="1:4" ht="16.5" customHeight="1">
      <c r="A60" s="213" t="s">
        <v>79</v>
      </c>
      <c r="D60" s="15">
        <v>1135188.12</v>
      </c>
    </row>
    <row r="61" spans="1:4" ht="16.5" customHeight="1">
      <c r="A61" s="213" t="s">
        <v>481</v>
      </c>
      <c r="D61" s="15">
        <v>800000</v>
      </c>
    </row>
    <row r="62" spans="1:4" ht="16.5" customHeight="1">
      <c r="A62" s="213" t="s">
        <v>482</v>
      </c>
      <c r="D62" s="15">
        <v>20500</v>
      </c>
    </row>
    <row r="63" spans="1:4" ht="16.5" customHeight="1">
      <c r="A63" s="213" t="s">
        <v>483</v>
      </c>
      <c r="D63" s="15">
        <v>67000</v>
      </c>
    </row>
    <row r="64" spans="1:4" ht="16.5" customHeight="1">
      <c r="A64" s="216"/>
      <c r="D64" s="20"/>
    </row>
    <row r="65" spans="1:4" ht="16.5" customHeight="1">
      <c r="A65" s="216" t="s">
        <v>20</v>
      </c>
      <c r="D65" s="20">
        <f>SUM(D57:D64)</f>
        <v>2387219.1100000003</v>
      </c>
    </row>
    <row r="66" spans="1:4" ht="16.5" customHeight="1">
      <c r="A66" s="216"/>
      <c r="D66" s="20"/>
    </row>
    <row r="67" spans="1:4" ht="16.5" customHeight="1">
      <c r="A67" s="216"/>
      <c r="D67" s="20"/>
    </row>
    <row r="68" spans="1:4" ht="16.5" customHeight="1">
      <c r="A68" s="216"/>
      <c r="D68" s="20"/>
    </row>
    <row r="69" spans="1:4" ht="16.5" customHeight="1">
      <c r="A69" s="216"/>
      <c r="D69" s="20"/>
    </row>
    <row r="70" spans="1:4" ht="16.5" customHeight="1">
      <c r="A70" s="216"/>
      <c r="D70" s="20"/>
    </row>
    <row r="71" spans="1:4" ht="16.5" customHeight="1">
      <c r="A71" s="204"/>
      <c r="D71" s="20"/>
    </row>
    <row r="72" spans="2:4" ht="16.5" customHeight="1">
      <c r="B72" s="201"/>
      <c r="C72" s="6"/>
      <c r="D72" s="6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6"/>
      <c r="D508" s="6"/>
    </row>
    <row r="509" spans="2:4" ht="16.5" customHeight="1">
      <c r="B509" s="201"/>
      <c r="C509" s="18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2:4" ht="16.5" customHeight="1">
      <c r="B602" s="201"/>
      <c r="C602" s="18"/>
      <c r="D602" s="6"/>
    </row>
    <row r="603" spans="1:4" ht="16.5" customHeight="1">
      <c r="A603" s="207"/>
      <c r="B603" s="207"/>
      <c r="C603" s="18"/>
      <c r="D603" s="6"/>
    </row>
    <row r="604" spans="1:4" ht="16.5" customHeight="1">
      <c r="A604" s="207"/>
      <c r="B604" s="207"/>
      <c r="C604" s="18"/>
      <c r="D604" s="6"/>
    </row>
    <row r="605" spans="1:4" ht="16.5" customHeight="1">
      <c r="A605" s="207"/>
      <c r="B605" s="207"/>
      <c r="C605" s="18"/>
      <c r="D605" s="6"/>
    </row>
    <row r="606" spans="1:4" ht="16.5" customHeight="1">
      <c r="A606" s="207"/>
      <c r="B606" s="207"/>
      <c r="C606" s="18"/>
      <c r="D606" s="6"/>
    </row>
    <row r="607" spans="1:4" ht="16.5" customHeight="1">
      <c r="A607" s="215"/>
      <c r="B607" s="215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5"/>
      <c r="C624" s="18"/>
      <c r="D624" s="6"/>
    </row>
    <row r="625" spans="1:4" ht="16.5" customHeight="1">
      <c r="A625" s="215"/>
      <c r="B625" s="215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5"/>
      <c r="C627" s="18"/>
      <c r="D627" s="6"/>
    </row>
    <row r="628" spans="1:4" ht="16.5" customHeight="1">
      <c r="A628" s="215"/>
      <c r="B628" s="217"/>
      <c r="C628" s="18"/>
      <c r="D628" s="6"/>
    </row>
    <row r="629" spans="1:4" ht="16.5" customHeight="1">
      <c r="A629" s="215"/>
      <c r="B629" s="218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1:4" ht="16.5" customHeight="1">
      <c r="A636" s="215"/>
      <c r="B636" s="215"/>
      <c r="C636" s="18"/>
      <c r="D636" s="6"/>
    </row>
    <row r="637" spans="1:4" ht="16.5" customHeight="1">
      <c r="A637" s="207"/>
      <c r="B637" s="207"/>
      <c r="C637" s="18"/>
      <c r="D637" s="6"/>
    </row>
    <row r="638" spans="1:4" ht="16.5" customHeight="1">
      <c r="A638" s="207"/>
      <c r="B638" s="207"/>
      <c r="C638" s="18"/>
      <c r="D638" s="6"/>
    </row>
    <row r="639" spans="1:4" ht="16.5" customHeight="1">
      <c r="A639" s="207"/>
      <c r="B639" s="207"/>
      <c r="C639" s="18"/>
      <c r="D639" s="6"/>
    </row>
    <row r="640" spans="1:4" ht="16.5" customHeight="1">
      <c r="A640" s="207"/>
      <c r="B640" s="207"/>
      <c r="C640" s="18"/>
      <c r="D640" s="6"/>
    </row>
    <row r="641" spans="1:4" ht="16.5" customHeight="1">
      <c r="A641" s="207"/>
      <c r="B641" s="207"/>
      <c r="C641" s="18"/>
      <c r="D641" s="6"/>
    </row>
    <row r="642" spans="1:4" ht="16.5" customHeight="1">
      <c r="A642" s="207"/>
      <c r="B642" s="207"/>
      <c r="C642" s="18"/>
      <c r="D642" s="6"/>
    </row>
    <row r="643" spans="2:4" ht="16.5" customHeight="1">
      <c r="B643" s="201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  <row r="844" spans="2:4" ht="16.5" customHeight="1">
      <c r="B844" s="201"/>
      <c r="C844" s="18"/>
      <c r="D844" s="6"/>
    </row>
  </sheetData>
  <sheetProtection/>
  <mergeCells count="7">
    <mergeCell ref="A3:D3"/>
    <mergeCell ref="A55:D55"/>
    <mergeCell ref="A56:D56"/>
    <mergeCell ref="A1:D1"/>
    <mergeCell ref="A2:D2"/>
    <mergeCell ref="A43:D43"/>
    <mergeCell ref="A44:D4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T119" sqref="T119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297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519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4"/>
    </row>
    <row r="5" spans="1:18" s="107" customFormat="1" ht="14.25">
      <c r="A5" s="108" t="s">
        <v>123</v>
      </c>
      <c r="B5" s="321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19" t="s">
        <v>121</v>
      </c>
      <c r="Q5" s="320"/>
      <c r="R5" s="322" t="s">
        <v>20</v>
      </c>
    </row>
    <row r="6" spans="1:18" s="107" customFormat="1" ht="14.25">
      <c r="A6" s="109" t="s">
        <v>124</v>
      </c>
      <c r="B6" s="321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349</v>
      </c>
      <c r="Q6" s="245" t="s">
        <v>122</v>
      </c>
      <c r="R6" s="323"/>
    </row>
    <row r="7" spans="1:18" ht="14.25">
      <c r="A7" s="131" t="s">
        <v>278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279</v>
      </c>
      <c r="B8" s="110">
        <f>4759</f>
        <v>4759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4759</v>
      </c>
    </row>
    <row r="9" spans="1:18" ht="14.25">
      <c r="A9" s="133" t="s">
        <v>280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281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282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283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7259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7259</v>
      </c>
    </row>
    <row r="14" spans="1:18" ht="15" thickBot="1">
      <c r="A14" s="134" t="s">
        <v>39</v>
      </c>
      <c r="B14" s="116">
        <f>148324+7259</f>
        <v>155583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155583</v>
      </c>
    </row>
    <row r="15" spans="1:18" ht="15" thickTop="1">
      <c r="A15" s="135" t="s">
        <v>284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285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286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287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288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289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290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243060+243060</f>
        <v>486120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486120</v>
      </c>
    </row>
    <row r="24" spans="1:18" ht="15" thickTop="1">
      <c r="A24" s="132" t="s">
        <v>291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292</v>
      </c>
      <c r="B25" s="119"/>
      <c r="C25" s="119">
        <v>156780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SUM(C25:P25)</f>
        <v>317880</v>
      </c>
    </row>
    <row r="26" spans="1:18" ht="14.25">
      <c r="A26" s="133" t="s">
        <v>293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294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f>SUM(C25:C27)</f>
        <v>171480</v>
      </c>
      <c r="D28" s="103">
        <v>0</v>
      </c>
      <c r="E28" s="103">
        <f>SUM(E25:E27)</f>
        <v>103770</v>
      </c>
      <c r="F28" s="103">
        <v>0</v>
      </c>
      <c r="G28" s="103">
        <f>SUM(G25:G27)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339580</v>
      </c>
    </row>
    <row r="29" spans="1:18" ht="15" thickBot="1">
      <c r="A29" s="134" t="s">
        <v>39</v>
      </c>
      <c r="B29" s="136"/>
      <c r="C29" s="123">
        <f>171480+171480</f>
        <v>342960</v>
      </c>
      <c r="D29" s="136">
        <v>0</v>
      </c>
      <c r="E29" s="136">
        <f>103770+103770</f>
        <v>207540</v>
      </c>
      <c r="F29" s="136">
        <v>0</v>
      </c>
      <c r="G29" s="136">
        <f>20360+20360</f>
        <v>40720</v>
      </c>
      <c r="H29" s="136">
        <v>0</v>
      </c>
      <c r="I29" s="136">
        <v>0</v>
      </c>
      <c r="J29" s="136">
        <v>0</v>
      </c>
      <c r="K29" s="136">
        <v>0</v>
      </c>
      <c r="L29" s="136">
        <f>43970+43970</f>
        <v>87940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679160</v>
      </c>
    </row>
    <row r="30" spans="1:18" ht="15" thickTop="1">
      <c r="A30" s="132" t="s">
        <v>291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295</v>
      </c>
      <c r="B31" s="119"/>
      <c r="C31" s="119">
        <v>16540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16540</v>
      </c>
    </row>
    <row r="32" spans="1:18" ht="14.25">
      <c r="A32" s="132" t="s">
        <v>296</v>
      </c>
      <c r="B32" s="121"/>
      <c r="C32" s="120">
        <v>195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195</v>
      </c>
    </row>
    <row r="33" spans="1:18" ht="14.25">
      <c r="A33" s="133" t="s">
        <v>38</v>
      </c>
      <c r="B33" s="103"/>
      <c r="C33" s="122">
        <f>SUM(C31:C32)</f>
        <v>16735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16735</v>
      </c>
    </row>
    <row r="34" spans="1:18" ht="15" thickBot="1">
      <c r="A34" s="134" t="s">
        <v>39</v>
      </c>
      <c r="B34" s="136"/>
      <c r="C34" s="116">
        <f>12260+16735</f>
        <v>28995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28995</v>
      </c>
    </row>
    <row r="35" ht="15" thickTop="1">
      <c r="C35" s="233"/>
    </row>
    <row r="41" spans="1:18" s="107" customFormat="1" ht="14.25">
      <c r="A41" s="108" t="s">
        <v>123</v>
      </c>
      <c r="B41" s="321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19" t="s">
        <v>121</v>
      </c>
      <c r="Q41" s="320"/>
      <c r="R41" s="322" t="s">
        <v>20</v>
      </c>
    </row>
    <row r="42" spans="1:18" s="107" customFormat="1" ht="14.25">
      <c r="A42" s="109" t="s">
        <v>124</v>
      </c>
      <c r="B42" s="321"/>
      <c r="C42" s="130" t="s">
        <v>108</v>
      </c>
      <c r="D42" s="130" t="s">
        <v>119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120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349</v>
      </c>
      <c r="Q42" s="245" t="s">
        <v>122</v>
      </c>
      <c r="R42" s="323"/>
    </row>
    <row r="43" spans="1:18" ht="14.25">
      <c r="A43" s="135" t="s">
        <v>291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298</v>
      </c>
      <c r="B44" s="113"/>
      <c r="C44" s="113">
        <v>19500</v>
      </c>
      <c r="D44" s="113"/>
      <c r="E44" s="113">
        <v>20330</v>
      </c>
      <c r="F44" s="113"/>
      <c r="G44" s="113">
        <f>18000+7600</f>
        <v>25600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92830</v>
      </c>
    </row>
    <row r="45" spans="1:18" ht="14.25">
      <c r="A45" s="137" t="s">
        <v>299</v>
      </c>
      <c r="B45" s="110"/>
      <c r="C45" s="110">
        <v>1500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3955</v>
      </c>
    </row>
    <row r="46" spans="1:18" ht="14.25">
      <c r="A46" s="133" t="s">
        <v>38</v>
      </c>
      <c r="B46" s="103"/>
      <c r="C46" s="115">
        <f>SUM(C44:C45)</f>
        <v>21000</v>
      </c>
      <c r="D46" s="103">
        <v>0</v>
      </c>
      <c r="E46" s="103">
        <f>SUM(E43:E45)</f>
        <v>21285</v>
      </c>
      <c r="F46" s="103">
        <v>0</v>
      </c>
      <c r="G46" s="103">
        <f>SUM(G44:G45)</f>
        <v>25600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96785</v>
      </c>
    </row>
    <row r="47" spans="1:18" ht="15" thickBot="1">
      <c r="A47" s="134" t="s">
        <v>39</v>
      </c>
      <c r="B47" s="136"/>
      <c r="C47" s="116">
        <f>21000+21000</f>
        <v>42000</v>
      </c>
      <c r="D47" s="103">
        <v>0</v>
      </c>
      <c r="E47" s="103">
        <f>21285+21285</f>
        <v>42570</v>
      </c>
      <c r="F47" s="103">
        <v>0</v>
      </c>
      <c r="G47" s="103">
        <f>32200+25600</f>
        <v>57800</v>
      </c>
      <c r="H47" s="103">
        <v>0</v>
      </c>
      <c r="I47" s="103">
        <f>9000+9000</f>
        <v>18000</v>
      </c>
      <c r="J47" s="103">
        <v>0</v>
      </c>
      <c r="K47" s="103">
        <v>0</v>
      </c>
      <c r="L47" s="103">
        <f>19900+19900</f>
        <v>39800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200170</v>
      </c>
    </row>
    <row r="48" spans="1:18" ht="15" thickTop="1">
      <c r="A48" s="135" t="s">
        <v>300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301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2800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2800</v>
      </c>
    </row>
    <row r="50" spans="1:18" ht="14.25">
      <c r="A50" s="132" t="s">
        <v>302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303</v>
      </c>
      <c r="B51" s="119"/>
      <c r="C51" s="119">
        <f>7500</f>
        <v>7500</v>
      </c>
      <c r="D51" s="119"/>
      <c r="E51" s="119">
        <f>1700+2500</f>
        <v>4200</v>
      </c>
      <c r="F51" s="119"/>
      <c r="G51" s="119">
        <v>3000</v>
      </c>
      <c r="H51" s="119"/>
      <c r="I51" s="119"/>
      <c r="J51" s="119"/>
      <c r="K51" s="119"/>
      <c r="L51" s="119">
        <v>5400</v>
      </c>
      <c r="M51" s="119"/>
      <c r="N51" s="119"/>
      <c r="O51" s="113"/>
      <c r="P51" s="119"/>
      <c r="Q51" s="119"/>
      <c r="R51" s="113">
        <f>SUM(C51:Q51)</f>
        <v>20100</v>
      </c>
    </row>
    <row r="52" spans="1:18" ht="14.25">
      <c r="A52" s="133" t="s">
        <v>304</v>
      </c>
      <c r="B52" s="119"/>
      <c r="C52" s="119">
        <v>1960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6"/>
      <c r="O52" s="113"/>
      <c r="P52" s="119"/>
      <c r="Q52" s="119"/>
      <c r="R52" s="113">
        <f t="shared" si="1"/>
        <v>1960</v>
      </c>
    </row>
    <row r="53" spans="1:18" ht="14.25">
      <c r="A53" s="169" t="s">
        <v>305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9460</v>
      </c>
      <c r="D54" s="103">
        <v>0</v>
      </c>
      <c r="E54" s="103">
        <f>SUM(E49:E53)</f>
        <v>4200</v>
      </c>
      <c r="F54" s="103">
        <v>0</v>
      </c>
      <c r="G54" s="103">
        <f>SUM(G49:G53)</f>
        <v>3000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8200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24860</v>
      </c>
    </row>
    <row r="55" spans="1:18" ht="15" thickBot="1">
      <c r="A55" s="134" t="s">
        <v>39</v>
      </c>
      <c r="B55" s="136"/>
      <c r="C55" s="123">
        <f>6500+9460</f>
        <v>15960</v>
      </c>
      <c r="D55" s="136">
        <v>0</v>
      </c>
      <c r="E55" s="136">
        <f>13020+4200</f>
        <v>17220</v>
      </c>
      <c r="F55" s="136">
        <v>0</v>
      </c>
      <c r="G55" s="136">
        <f>2400+3000</f>
        <v>5400</v>
      </c>
      <c r="H55" s="136">
        <v>0</v>
      </c>
      <c r="I55" s="136">
        <v>0</v>
      </c>
      <c r="J55" s="136">
        <v>0</v>
      </c>
      <c r="K55" s="136">
        <v>0</v>
      </c>
      <c r="L55" s="136">
        <f>5400+8200</f>
        <v>13600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52180</v>
      </c>
    </row>
    <row r="56" spans="1:18" ht="15" thickTop="1">
      <c r="A56" s="137" t="s">
        <v>306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307</v>
      </c>
      <c r="B57" s="125"/>
      <c r="C57" s="125">
        <f>7000+5000+5975.3+1152+3500</f>
        <v>22627.3</v>
      </c>
      <c r="D57" s="125"/>
      <c r="E57" s="125">
        <v>0</v>
      </c>
      <c r="F57" s="125"/>
      <c r="G57" s="125">
        <v>840.5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23467.8</v>
      </c>
    </row>
    <row r="58" spans="1:18" ht="14.25">
      <c r="A58" s="133" t="s">
        <v>308</v>
      </c>
      <c r="B58" s="119"/>
      <c r="C58" s="119">
        <f>750+750</f>
        <v>1500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1500</v>
      </c>
    </row>
    <row r="59" spans="1:18" ht="14.25">
      <c r="A59" s="137" t="s">
        <v>309</v>
      </c>
      <c r="B59" s="119"/>
      <c r="C59" s="119">
        <f>7849.25</f>
        <v>7849.25</v>
      </c>
      <c r="D59" s="119"/>
      <c r="E59" s="119">
        <f>1600+1600+1600+1600+1600+1600</f>
        <v>9600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f>7000+62540+10000+7000+4420+2734+58000</f>
        <v>151694</v>
      </c>
      <c r="P59" s="119"/>
      <c r="Q59" s="119"/>
      <c r="R59" s="113">
        <f>SUM(C59:Q59)</f>
        <v>169143.25</v>
      </c>
    </row>
    <row r="60" spans="1:18" ht="14.25">
      <c r="A60" s="137" t="s">
        <v>310</v>
      </c>
      <c r="B60" s="119"/>
      <c r="C60" s="119">
        <v>0</v>
      </c>
      <c r="D60" s="119"/>
      <c r="E60" s="119"/>
      <c r="F60" s="119"/>
      <c r="G60" s="119">
        <v>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SUM(C57:C60)</f>
        <v>31976.55</v>
      </c>
      <c r="D61" s="103">
        <v>0</v>
      </c>
      <c r="E61" s="103">
        <f>SUM(E59)</f>
        <v>9600</v>
      </c>
      <c r="F61" s="103">
        <v>0</v>
      </c>
      <c r="G61" s="103">
        <f>SUM(G57)</f>
        <v>840.5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f>SUM(L57:L60)</f>
        <v>0</v>
      </c>
      <c r="M61" s="103">
        <v>0</v>
      </c>
      <c r="N61" s="103">
        <v>0</v>
      </c>
      <c r="O61" s="103">
        <f>SUM(O57:O60)</f>
        <v>151694</v>
      </c>
      <c r="P61" s="103">
        <v>0</v>
      </c>
      <c r="Q61" s="103"/>
      <c r="R61" s="115">
        <f>SUM(C61:P61)</f>
        <v>194111.05</v>
      </c>
    </row>
    <row r="62" spans="1:18" ht="15" thickBot="1">
      <c r="A62" s="134" t="s">
        <v>39</v>
      </c>
      <c r="B62" s="136"/>
      <c r="C62" s="123">
        <f>24652+31976.55</f>
        <v>56628.55</v>
      </c>
      <c r="D62" s="136">
        <v>0</v>
      </c>
      <c r="E62" s="136">
        <f>24600+9600</f>
        <v>34200</v>
      </c>
      <c r="F62" s="136">
        <v>0</v>
      </c>
      <c r="G62" s="136">
        <f>1200+840.5</f>
        <v>2040.5</v>
      </c>
      <c r="H62" s="136">
        <v>0</v>
      </c>
      <c r="I62" s="136">
        <v>0</v>
      </c>
      <c r="J62" s="136">
        <v>0</v>
      </c>
      <c r="K62" s="136">
        <v>0</v>
      </c>
      <c r="L62" s="136">
        <f>SUM(L61)</f>
        <v>0</v>
      </c>
      <c r="M62" s="136">
        <v>0</v>
      </c>
      <c r="N62" s="136">
        <v>0</v>
      </c>
      <c r="O62" s="136">
        <f>1000+151694</f>
        <v>152694</v>
      </c>
      <c r="P62" s="136">
        <v>0</v>
      </c>
      <c r="Q62" s="136"/>
      <c r="R62" s="116">
        <f>SUM(C62:P62)</f>
        <v>245563.05</v>
      </c>
    </row>
    <row r="63" spans="1:18" ht="15" thickTop="1">
      <c r="A63" s="137" t="s">
        <v>311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312</v>
      </c>
      <c r="B64" s="125"/>
      <c r="C64" s="125">
        <v>0</v>
      </c>
      <c r="D64" s="125"/>
      <c r="E64" s="125">
        <v>3500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3500</v>
      </c>
    </row>
    <row r="65" spans="1:18" ht="14.25">
      <c r="A65" s="133" t="s">
        <v>313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314</v>
      </c>
      <c r="B66" s="119"/>
      <c r="C66" s="119"/>
      <c r="D66" s="119"/>
      <c r="E66" s="119">
        <v>240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240</v>
      </c>
    </row>
    <row r="67" spans="1:18" ht="14.25">
      <c r="A67" s="137" t="s">
        <v>315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316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19840</v>
      </c>
      <c r="M69" s="119"/>
      <c r="N69" s="119"/>
      <c r="O69" s="113"/>
      <c r="P69" s="119"/>
      <c r="Q69" s="119"/>
      <c r="R69" s="113">
        <f>SUM(L69:Q69)</f>
        <v>19840</v>
      </c>
    </row>
    <row r="70" spans="1:18" ht="14.25">
      <c r="A70" s="137" t="s">
        <v>318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319</v>
      </c>
      <c r="B71" s="119"/>
      <c r="C71" s="119">
        <v>13050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13050</v>
      </c>
    </row>
    <row r="72" spans="1:18" ht="14.25">
      <c r="A72" s="137" t="s">
        <v>320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321</v>
      </c>
      <c r="B73" s="119"/>
      <c r="C73" s="119"/>
      <c r="D73" s="119"/>
      <c r="E73" s="119">
        <v>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322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323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13050</v>
      </c>
      <c r="D76" s="103">
        <v>0</v>
      </c>
      <c r="E76" s="103">
        <f>SUM(E64:E75)</f>
        <v>3740</v>
      </c>
      <c r="F76" s="103">
        <v>0</v>
      </c>
      <c r="G76" s="103">
        <f>SUM(G64)</f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19840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36630</v>
      </c>
    </row>
    <row r="77" spans="1:18" ht="15" thickBot="1">
      <c r="A77" s="134" t="s">
        <v>39</v>
      </c>
      <c r="B77" s="136"/>
      <c r="C77" s="123">
        <f>13050</f>
        <v>13050</v>
      </c>
      <c r="D77" s="136">
        <v>0</v>
      </c>
      <c r="E77" s="136">
        <f>64682+3740</f>
        <v>68422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f>900+19840</f>
        <v>20740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102212</v>
      </c>
    </row>
    <row r="78" ht="15" thickTop="1"/>
    <row r="81" spans="1:18" s="107" customFormat="1" ht="13.5" customHeight="1">
      <c r="A81" s="108" t="s">
        <v>123</v>
      </c>
      <c r="B81" s="321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19" t="s">
        <v>121</v>
      </c>
      <c r="Q81" s="320"/>
      <c r="R81" s="322" t="s">
        <v>20</v>
      </c>
    </row>
    <row r="82" spans="1:18" s="107" customFormat="1" ht="13.5" customHeight="1">
      <c r="A82" s="109" t="s">
        <v>124</v>
      </c>
      <c r="B82" s="321"/>
      <c r="C82" s="130" t="s">
        <v>108</v>
      </c>
      <c r="D82" s="130" t="s">
        <v>119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120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349</v>
      </c>
      <c r="Q82" s="245" t="s">
        <v>122</v>
      </c>
      <c r="R82" s="323"/>
    </row>
    <row r="83" spans="1:18" ht="13.5" customHeight="1">
      <c r="A83" s="135" t="s">
        <v>324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325</v>
      </c>
      <c r="B84" s="110"/>
      <c r="C84" s="110">
        <v>8719.1</v>
      </c>
      <c r="D84" s="110"/>
      <c r="E84" s="110"/>
      <c r="F84" s="110"/>
      <c r="G84" s="110">
        <v>1607.6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10326.7</v>
      </c>
    </row>
    <row r="85" spans="1:18" ht="13.5" customHeight="1">
      <c r="A85" s="133" t="s">
        <v>326</v>
      </c>
      <c r="B85" s="113"/>
      <c r="C85" s="113">
        <v>160</v>
      </c>
      <c r="D85" s="113"/>
      <c r="E85" s="113"/>
      <c r="F85" s="113"/>
      <c r="G85" s="113">
        <v>40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200</v>
      </c>
    </row>
    <row r="86" spans="1:18" ht="13.5" customHeight="1">
      <c r="A86" s="133" t="s">
        <v>327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328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329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f>SUM(C84:C88)</f>
        <v>8879.1</v>
      </c>
      <c r="D89" s="103">
        <v>0</v>
      </c>
      <c r="E89" s="103">
        <v>0</v>
      </c>
      <c r="F89" s="103">
        <v>0</v>
      </c>
      <c r="G89" s="103">
        <f>SUM(G84:G88)</f>
        <v>1647.6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10526.7</v>
      </c>
    </row>
    <row r="90" spans="1:18" ht="13.5" customHeight="1" thickBot="1">
      <c r="A90" s="134" t="s">
        <v>39</v>
      </c>
      <c r="B90" s="103"/>
      <c r="C90" s="103">
        <f>15960.85+8879.1</f>
        <v>24839.95</v>
      </c>
      <c r="D90" s="103">
        <v>0</v>
      </c>
      <c r="E90" s="103">
        <v>0</v>
      </c>
      <c r="F90" s="103">
        <v>0</v>
      </c>
      <c r="G90" s="103">
        <f>4506.72+1647.6</f>
        <v>6154.32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30994.27</v>
      </c>
    </row>
    <row r="91" spans="1:18" ht="13.5" customHeight="1" thickTop="1">
      <c r="A91" s="135" t="s">
        <v>330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331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332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333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334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336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337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338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35000</f>
        <v>35000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35000</v>
      </c>
    </row>
    <row r="102" spans="1:18" ht="13.5" customHeight="1" thickTop="1">
      <c r="A102" s="137" t="s">
        <v>339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340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341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342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343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344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345</v>
      </c>
      <c r="B110" s="120"/>
      <c r="C110" s="119"/>
      <c r="D110" s="119"/>
      <c r="E110" s="119"/>
      <c r="F110" s="119"/>
      <c r="G110" s="119"/>
      <c r="H110" s="119">
        <f>226400+107200+67200</f>
        <v>400800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400800</v>
      </c>
    </row>
    <row r="111" spans="1:18" ht="13.5" customHeight="1">
      <c r="A111" s="133" t="s">
        <v>346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400800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400800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f>400800</f>
        <v>400800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400800</v>
      </c>
    </row>
    <row r="114" spans="1:18" ht="13.5" customHeight="1" thickTop="1">
      <c r="A114" s="137" t="s">
        <v>347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348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7259</v>
      </c>
      <c r="C118" s="103">
        <f>SUM(C13+C22+C28+C33+C46+C54+C61+C76+C89+C100+C106+C112+C117)</f>
        <v>515640.64999999997</v>
      </c>
      <c r="D118" s="195">
        <v>0</v>
      </c>
      <c r="E118" s="195">
        <f>SUM(E28+E46+E54+E61+E76)</f>
        <v>142595</v>
      </c>
      <c r="F118" s="195">
        <v>0</v>
      </c>
      <c r="G118" s="195">
        <f>SUM(G13+G22+G28+G33+G46+G54+G61+G76+G89+G100+G106+G112)</f>
        <v>51448.1</v>
      </c>
      <c r="H118" s="195">
        <f>SUM(H112)</f>
        <v>400800</v>
      </c>
      <c r="I118" s="195">
        <f>SUM(I13+I22+I28+I33+I46+I54+I61+I76+I89+I100+I106+I112)</f>
        <v>9000</v>
      </c>
      <c r="J118" s="195">
        <v>0</v>
      </c>
      <c r="K118" s="195">
        <v>0</v>
      </c>
      <c r="L118" s="195">
        <f>SUM(L13+L22+L28+L33+L46+L54+L61+L76+L89+L100+L106+L112)</f>
        <v>91910</v>
      </c>
      <c r="M118" s="195">
        <v>0</v>
      </c>
      <c r="N118" s="195">
        <v>0</v>
      </c>
      <c r="O118" s="195">
        <f>SUM(O13+O22+O28+O33+O46+O54+O61+O76+O89+O100+O106+O112)</f>
        <v>151694</v>
      </c>
      <c r="P118" s="195">
        <v>0</v>
      </c>
      <c r="Q118" s="195"/>
      <c r="R118" s="115">
        <f>SUM(B118:Q118)</f>
        <v>1370346.75</v>
      </c>
    </row>
    <row r="119" spans="1:18" ht="13.5" customHeight="1" thickBot="1">
      <c r="A119" s="134" t="s">
        <v>39</v>
      </c>
      <c r="B119" s="116">
        <f>148324+7259</f>
        <v>155583</v>
      </c>
      <c r="C119" s="136">
        <f>494912.85+515640.65</f>
        <v>1010553.5</v>
      </c>
      <c r="D119" s="136">
        <v>0</v>
      </c>
      <c r="E119" s="136">
        <f>227357+142595</f>
        <v>369952</v>
      </c>
      <c r="F119" s="136">
        <v>0</v>
      </c>
      <c r="G119" s="136">
        <f>95666.72+51448.1</f>
        <v>147114.82</v>
      </c>
      <c r="H119" s="136">
        <f>400800</f>
        <v>400800</v>
      </c>
      <c r="I119" s="136">
        <f>9000+9000</f>
        <v>18000</v>
      </c>
      <c r="J119" s="136">
        <v>0</v>
      </c>
      <c r="K119" s="136">
        <v>0</v>
      </c>
      <c r="L119" s="136">
        <f>70170+91910</f>
        <v>162080</v>
      </c>
      <c r="M119" s="136">
        <v>0</v>
      </c>
      <c r="N119" s="136">
        <v>0</v>
      </c>
      <c r="O119" s="136">
        <f>1000+151694</f>
        <v>152694</v>
      </c>
      <c r="P119" s="136">
        <v>0</v>
      </c>
      <c r="Q119" s="136"/>
      <c r="R119" s="116">
        <f>SUM(B119:Q119)</f>
        <v>2416777.3200000003</v>
      </c>
    </row>
    <row r="120" ht="15" thickTop="1"/>
  </sheetData>
  <sheetProtection/>
  <mergeCells count="27">
    <mergeCell ref="B41:B42"/>
    <mergeCell ref="C41:E41"/>
    <mergeCell ref="I41:J41"/>
    <mergeCell ref="L41:M41"/>
    <mergeCell ref="G41:H41"/>
    <mergeCell ref="I5:J5"/>
    <mergeCell ref="L5:M5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">
      <selection activeCell="J93" sqref="J9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519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4"/>
    </row>
    <row r="5" spans="1:18" s="107" customFormat="1" ht="14.25">
      <c r="A5" s="108" t="s">
        <v>123</v>
      </c>
      <c r="B5" s="321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130" t="s">
        <v>470</v>
      </c>
      <c r="O5" s="319" t="s">
        <v>107</v>
      </c>
      <c r="P5" s="320"/>
      <c r="Q5" s="268" t="s">
        <v>121</v>
      </c>
      <c r="R5" s="322" t="s">
        <v>20</v>
      </c>
    </row>
    <row r="6" spans="1:18" s="107" customFormat="1" ht="14.25">
      <c r="A6" s="109" t="s">
        <v>124</v>
      </c>
      <c r="B6" s="321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469</v>
      </c>
      <c r="O6" s="130" t="s">
        <v>117</v>
      </c>
      <c r="P6" s="130" t="s">
        <v>118</v>
      </c>
      <c r="Q6" s="245" t="s">
        <v>122</v>
      </c>
      <c r="R6" s="323"/>
    </row>
    <row r="7" spans="1:18" ht="14.25">
      <c r="A7" s="131" t="s">
        <v>278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279</v>
      </c>
      <c r="B8" s="110">
        <f>74870-5089-4759</f>
        <v>65022</v>
      </c>
      <c r="C8" s="110" t="s">
        <v>276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65022</v>
      </c>
    </row>
    <row r="9" spans="1:18" ht="14.25">
      <c r="A9" s="133" t="s">
        <v>280</v>
      </c>
      <c r="B9" s="113">
        <f>24000-2000-2500</f>
        <v>19500</v>
      </c>
      <c r="C9" s="113"/>
      <c r="D9" s="113"/>
      <c r="E9" s="113"/>
      <c r="F9" s="113" t="s">
        <v>276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19500</v>
      </c>
    </row>
    <row r="10" spans="1:18" ht="14.25">
      <c r="A10" s="133" t="s">
        <v>281</v>
      </c>
      <c r="B10" s="113">
        <v>187243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187243</v>
      </c>
    </row>
    <row r="11" spans="1:18" ht="14.25">
      <c r="A11" s="133" t="s">
        <v>282</v>
      </c>
      <c r="B11" s="113">
        <v>140000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140000</v>
      </c>
    </row>
    <row r="12" spans="1:18" ht="14.25">
      <c r="A12" s="133" t="s">
        <v>283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411770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411770</v>
      </c>
    </row>
    <row r="14" spans="1:18" ht="15" thickTop="1">
      <c r="A14" s="135" t="s">
        <v>284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285</v>
      </c>
      <c r="B15" s="119"/>
      <c r="C15" s="113">
        <f>530000-42840-42840</f>
        <v>444320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 aca="true" t="shared" si="0" ref="R15:R21">SUM(C15:P15)</f>
        <v>444320</v>
      </c>
    </row>
    <row r="16" spans="1:18" ht="14.25">
      <c r="A16" s="132" t="s">
        <v>286</v>
      </c>
      <c r="B16" s="120"/>
      <c r="C16" s="120">
        <f>43000-3510-3510</f>
        <v>35980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 t="shared" si="0"/>
        <v>35980</v>
      </c>
    </row>
    <row r="17" spans="1:18" ht="14.25">
      <c r="A17" s="133" t="s">
        <v>287</v>
      </c>
      <c r="B17" s="119"/>
      <c r="C17" s="119">
        <f>43000-3510-3510</f>
        <v>35980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 t="shared" si="0"/>
        <v>35980</v>
      </c>
    </row>
    <row r="18" spans="1:18" ht="14.25">
      <c r="A18" s="133" t="s">
        <v>288</v>
      </c>
      <c r="B18" s="119"/>
      <c r="C18" s="113">
        <f>86400-7200-7200</f>
        <v>72000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 t="shared" si="0"/>
        <v>72000</v>
      </c>
    </row>
    <row r="19" spans="1:18" ht="14.25">
      <c r="A19" s="132" t="s">
        <v>289</v>
      </c>
      <c r="B19" s="120"/>
      <c r="C19" s="120">
        <f>2145600-178800-178800</f>
        <v>1788000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 t="shared" si="0"/>
        <v>1788000</v>
      </c>
    </row>
    <row r="20" spans="1:18" ht="14.25">
      <c r="A20" s="133" t="s">
        <v>290</v>
      </c>
      <c r="B20" s="119"/>
      <c r="C20" s="113">
        <f>86400-7200-7200</f>
        <v>72000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 t="shared" si="0"/>
        <v>72000</v>
      </c>
    </row>
    <row r="21" spans="1:18" ht="15" thickBot="1">
      <c r="A21" s="133" t="s">
        <v>38</v>
      </c>
      <c r="B21" s="136"/>
      <c r="C21" s="123">
        <f>SUM(C15:C20)</f>
        <v>2448280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2448280</v>
      </c>
    </row>
    <row r="22" spans="1:18" ht="15" thickTop="1">
      <c r="A22" s="132" t="s">
        <v>291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292</v>
      </c>
      <c r="B23" s="119"/>
      <c r="C23" s="119">
        <f>1940000-156780-156780</f>
        <v>1626440</v>
      </c>
      <c r="D23" s="119"/>
      <c r="E23" s="119">
        <f>1360000-100270-100270</f>
        <v>1159460</v>
      </c>
      <c r="F23" s="119"/>
      <c r="G23" s="119">
        <f>250000-20360-20360</f>
        <v>209280</v>
      </c>
      <c r="H23" s="119"/>
      <c r="I23" s="119"/>
      <c r="J23" s="119"/>
      <c r="K23" s="119"/>
      <c r="L23" s="119">
        <f>563000-40470-40470</f>
        <v>482060</v>
      </c>
      <c r="M23" s="119"/>
      <c r="N23" s="119"/>
      <c r="O23" s="119"/>
      <c r="P23" s="113"/>
      <c r="Q23" s="119"/>
      <c r="R23" s="113">
        <f>SUM(C23:P23)</f>
        <v>3477240</v>
      </c>
    </row>
    <row r="24" spans="1:18" ht="14.25">
      <c r="A24" s="133" t="s">
        <v>293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294</v>
      </c>
      <c r="B25" s="120"/>
      <c r="C25" s="120">
        <f>176400-14700-14700</f>
        <v>147000</v>
      </c>
      <c r="D25" s="120"/>
      <c r="E25" s="120">
        <f>42000-3500-3500</f>
        <v>35000</v>
      </c>
      <c r="F25" s="120"/>
      <c r="G25" s="120"/>
      <c r="H25" s="120"/>
      <c r="I25" s="120"/>
      <c r="J25" s="120"/>
      <c r="K25" s="120"/>
      <c r="L25" s="120">
        <f>42000-3500-3500</f>
        <v>35000</v>
      </c>
      <c r="M25" s="120"/>
      <c r="N25" s="120"/>
      <c r="O25" s="120"/>
      <c r="P25" s="110"/>
      <c r="Q25" s="120"/>
      <c r="R25" s="110">
        <f>SUM(C25:P25)</f>
        <v>217000</v>
      </c>
    </row>
    <row r="26" spans="1:18" ht="15" thickBot="1">
      <c r="A26" s="133" t="s">
        <v>38</v>
      </c>
      <c r="B26" s="136"/>
      <c r="C26" s="123">
        <f>SUM(C23:C25)</f>
        <v>1778440</v>
      </c>
      <c r="D26" s="136">
        <v>0</v>
      </c>
      <c r="E26" s="136">
        <f>SUM(E23:E25)</f>
        <v>1209960</v>
      </c>
      <c r="F26" s="136">
        <v>0</v>
      </c>
      <c r="G26" s="136">
        <f>SUM(G23:G25)</f>
        <v>209280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526060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3723740</v>
      </c>
    </row>
    <row r="27" spans="1:18" ht="15" thickTop="1">
      <c r="A27" s="132" t="s">
        <v>291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295</v>
      </c>
      <c r="B28" s="119"/>
      <c r="C28" s="119">
        <f>150000-10760-16540</f>
        <v>122700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122700</v>
      </c>
    </row>
    <row r="29" spans="1:18" ht="14.25">
      <c r="A29" s="132" t="s">
        <v>296</v>
      </c>
      <c r="B29" s="121"/>
      <c r="C29" s="120">
        <f>18000-1500-195</f>
        <v>16305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16305</v>
      </c>
    </row>
    <row r="30" spans="1:18" ht="15" thickBot="1">
      <c r="A30" s="133" t="s">
        <v>38</v>
      </c>
      <c r="B30" s="136"/>
      <c r="C30" s="123">
        <f>SUM(C28:C29)</f>
        <v>139005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139005</v>
      </c>
    </row>
    <row r="31" ht="15" thickTop="1">
      <c r="C31" s="249"/>
    </row>
    <row r="42" spans="1:18" s="107" customFormat="1" ht="14.25">
      <c r="A42" s="108" t="s">
        <v>123</v>
      </c>
      <c r="B42" s="321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130" t="s">
        <v>470</v>
      </c>
      <c r="O42" s="324" t="s">
        <v>107</v>
      </c>
      <c r="P42" s="324"/>
      <c r="Q42" s="268"/>
      <c r="R42" s="322" t="s">
        <v>20</v>
      </c>
    </row>
    <row r="43" spans="1:18" s="107" customFormat="1" ht="14.25">
      <c r="A43" s="109" t="s">
        <v>124</v>
      </c>
      <c r="B43" s="321"/>
      <c r="C43" s="130" t="s">
        <v>108</v>
      </c>
      <c r="D43" s="130" t="s">
        <v>119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120</v>
      </c>
      <c r="L43" s="130" t="s">
        <v>115</v>
      </c>
      <c r="M43" s="130" t="s">
        <v>116</v>
      </c>
      <c r="N43" s="130" t="s">
        <v>469</v>
      </c>
      <c r="O43" s="130" t="s">
        <v>117</v>
      </c>
      <c r="P43" s="130" t="s">
        <v>118</v>
      </c>
      <c r="Q43" s="245" t="s">
        <v>122</v>
      </c>
      <c r="R43" s="323"/>
    </row>
    <row r="44" spans="1:18" ht="14.25">
      <c r="A44" s="135" t="s">
        <v>291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298</v>
      </c>
      <c r="B45" s="113"/>
      <c r="C45" s="113">
        <f>250000-19500-19500</f>
        <v>211000</v>
      </c>
      <c r="D45" s="113"/>
      <c r="E45" s="113">
        <f>250000-20330-20330</f>
        <v>209340</v>
      </c>
      <c r="F45" s="113"/>
      <c r="G45" s="113">
        <f>630000-32200-25600</f>
        <v>572200</v>
      </c>
      <c r="H45" s="113"/>
      <c r="I45" s="113">
        <f>108000-9000-9000</f>
        <v>90000</v>
      </c>
      <c r="J45" s="113"/>
      <c r="K45" s="113"/>
      <c r="L45" s="113">
        <f>226000-18400-18400</f>
        <v>189200</v>
      </c>
      <c r="M45" s="113"/>
      <c r="N45" s="113"/>
      <c r="O45" s="113"/>
      <c r="P45" s="113"/>
      <c r="Q45" s="113"/>
      <c r="R45" s="113">
        <f>SUM(C45:P45)</f>
        <v>1271740</v>
      </c>
    </row>
    <row r="46" spans="1:18" ht="14.25">
      <c r="A46" s="132" t="s">
        <v>299</v>
      </c>
      <c r="B46" s="110"/>
      <c r="C46" s="110">
        <f>18000-1500-1500</f>
        <v>15000</v>
      </c>
      <c r="D46" s="110"/>
      <c r="E46" s="110">
        <f>29000-955-955</f>
        <v>27090</v>
      </c>
      <c r="F46" s="110"/>
      <c r="G46" s="110">
        <v>0</v>
      </c>
      <c r="H46" s="110"/>
      <c r="I46" s="110">
        <v>0</v>
      </c>
      <c r="J46" s="110"/>
      <c r="K46" s="110"/>
      <c r="L46" s="110">
        <f>18000-1500-1500</f>
        <v>15000</v>
      </c>
      <c r="M46" s="110"/>
      <c r="N46" s="110"/>
      <c r="O46" s="110"/>
      <c r="P46" s="110"/>
      <c r="Q46" s="110"/>
      <c r="R46" s="110">
        <f>SUM(C46:P46)</f>
        <v>57090</v>
      </c>
    </row>
    <row r="47" spans="1:18" ht="15" thickBot="1">
      <c r="A47" s="133" t="s">
        <v>38</v>
      </c>
      <c r="B47" s="103"/>
      <c r="C47" s="115">
        <f>SUM(C45:C46)</f>
        <v>226000</v>
      </c>
      <c r="D47" s="103">
        <v>0</v>
      </c>
      <c r="E47" s="103">
        <f>SUM(E44:E46)</f>
        <v>236430</v>
      </c>
      <c r="F47" s="103">
        <v>0</v>
      </c>
      <c r="G47" s="103">
        <f>SUM(G45:G46)</f>
        <v>572200</v>
      </c>
      <c r="H47" s="103">
        <v>0</v>
      </c>
      <c r="I47" s="103">
        <f>SUM(I45:I46)</f>
        <v>90000</v>
      </c>
      <c r="J47" s="103">
        <v>0</v>
      </c>
      <c r="K47" s="103">
        <v>0</v>
      </c>
      <c r="L47" s="103">
        <f>SUM(L45:L46)</f>
        <v>204200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1328830</v>
      </c>
    </row>
    <row r="48" spans="1:18" ht="15" thickTop="1">
      <c r="A48" s="135" t="s">
        <v>300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301</v>
      </c>
      <c r="B49" s="119"/>
      <c r="C49" s="119">
        <v>585000</v>
      </c>
      <c r="D49" s="119"/>
      <c r="E49" s="119">
        <v>402000</v>
      </c>
      <c r="F49" s="119"/>
      <c r="G49" s="119">
        <v>220000</v>
      </c>
      <c r="H49" s="119"/>
      <c r="I49" s="119">
        <v>27000</v>
      </c>
      <c r="J49" s="119"/>
      <c r="K49" s="119"/>
      <c r="L49" s="119">
        <f>252000-2800</f>
        <v>249200</v>
      </c>
      <c r="M49" s="119">
        <v>0</v>
      </c>
      <c r="N49" s="119"/>
      <c r="O49" s="119"/>
      <c r="P49" s="113"/>
      <c r="Q49" s="119"/>
      <c r="R49" s="113">
        <f>SUM(C49:P49)</f>
        <v>1483200</v>
      </c>
    </row>
    <row r="50" spans="1:18" ht="14.25">
      <c r="A50" s="132" t="s">
        <v>302</v>
      </c>
      <c r="B50" s="120"/>
      <c r="C50" s="120">
        <v>10000</v>
      </c>
      <c r="D50" s="120"/>
      <c r="E50" s="120">
        <f>20000-8820</f>
        <v>11180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34180</v>
      </c>
    </row>
    <row r="51" spans="1:18" ht="14.25">
      <c r="A51" s="133" t="s">
        <v>303</v>
      </c>
      <c r="B51" s="119"/>
      <c r="C51" s="119">
        <f>150000-6500-7500</f>
        <v>136000</v>
      </c>
      <c r="D51" s="119"/>
      <c r="E51" s="119">
        <f>90000-4200-4200</f>
        <v>81600</v>
      </c>
      <c r="F51" s="119"/>
      <c r="G51" s="119">
        <f>36000-2400-3000</f>
        <v>30600</v>
      </c>
      <c r="H51" s="119"/>
      <c r="I51" s="119"/>
      <c r="J51" s="119"/>
      <c r="K51" s="119"/>
      <c r="L51" s="119">
        <f>78000-5400-5400</f>
        <v>67200</v>
      </c>
      <c r="M51" s="119"/>
      <c r="N51" s="119"/>
      <c r="O51" s="119"/>
      <c r="P51" s="113"/>
      <c r="Q51" s="119"/>
      <c r="R51" s="113">
        <f>SUM(C51:P51)</f>
        <v>315400</v>
      </c>
    </row>
    <row r="52" spans="1:18" ht="14.25">
      <c r="A52" s="133" t="s">
        <v>304</v>
      </c>
      <c r="B52" s="119"/>
      <c r="C52" s="119">
        <f>50000-1960</f>
        <v>48040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73040</v>
      </c>
    </row>
    <row r="53" spans="1:18" ht="14.25">
      <c r="A53" s="169" t="s">
        <v>305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779040</v>
      </c>
      <c r="D54" s="136">
        <v>0</v>
      </c>
      <c r="E54" s="136">
        <f>SUM(E49:E52)</f>
        <v>514780</v>
      </c>
      <c r="F54" s="136">
        <v>0</v>
      </c>
      <c r="G54" s="136">
        <f>SUM(G49:G53)</f>
        <v>255600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326400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1905820</v>
      </c>
    </row>
    <row r="55" spans="1:18" ht="15" thickTop="1">
      <c r="A55" s="137" t="s">
        <v>306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307</v>
      </c>
      <c r="B56" s="125"/>
      <c r="C56" s="125">
        <f>480000-19752-22627.3</f>
        <v>437620.7</v>
      </c>
      <c r="D56" s="125"/>
      <c r="E56" s="125">
        <f>70000-24600</f>
        <v>45400</v>
      </c>
      <c r="F56" s="125"/>
      <c r="G56" s="125">
        <f>60000-840.5</f>
        <v>59159.5</v>
      </c>
      <c r="H56" s="125"/>
      <c r="I56" s="125">
        <v>20000</v>
      </c>
      <c r="J56" s="125"/>
      <c r="K56" s="125" t="s">
        <v>276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947180.2</v>
      </c>
    </row>
    <row r="57" spans="1:18" ht="14.25">
      <c r="A57" s="133" t="s">
        <v>308</v>
      </c>
      <c r="B57" s="119"/>
      <c r="C57" s="119">
        <f>70000-1500</f>
        <v>68500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78500</v>
      </c>
    </row>
    <row r="58" spans="1:18" ht="14.25">
      <c r="A58" s="137" t="s">
        <v>309</v>
      </c>
      <c r="B58" s="119"/>
      <c r="C58" s="119">
        <f>585000-1000-7849.25</f>
        <v>576150.75</v>
      </c>
      <c r="D58" s="119">
        <v>50000</v>
      </c>
      <c r="E58" s="119">
        <f>40000-9600</f>
        <v>30400</v>
      </c>
      <c r="F58" s="119">
        <v>240000</v>
      </c>
      <c r="G58" s="119">
        <v>50000</v>
      </c>
      <c r="H58" s="119">
        <v>553400</v>
      </c>
      <c r="I58" s="119">
        <v>5000</v>
      </c>
      <c r="J58" s="119">
        <v>470000</v>
      </c>
      <c r="K58" s="119">
        <v>0</v>
      </c>
      <c r="L58" s="119">
        <v>40000</v>
      </c>
      <c r="M58" s="119"/>
      <c r="N58" s="119">
        <v>120000</v>
      </c>
      <c r="O58" s="119">
        <v>160000</v>
      </c>
      <c r="P58" s="113">
        <f>270000-1000-151694</f>
        <v>117306</v>
      </c>
      <c r="Q58" s="119"/>
      <c r="R58" s="113">
        <f>SUM(C58:P58)</f>
        <v>2412256.75</v>
      </c>
    </row>
    <row r="59" spans="1:18" ht="14.25">
      <c r="A59" s="137" t="s">
        <v>310</v>
      </c>
      <c r="B59" s="119"/>
      <c r="C59" s="119">
        <f>40000-3900</f>
        <v>36100</v>
      </c>
      <c r="D59" s="119"/>
      <c r="E59" s="119">
        <v>30000</v>
      </c>
      <c r="F59" s="119"/>
      <c r="G59" s="119">
        <f>15000-1200</f>
        <v>13800</v>
      </c>
      <c r="H59" s="119"/>
      <c r="I59" s="119">
        <v>10000</v>
      </c>
      <c r="J59" s="119"/>
      <c r="K59" s="119"/>
      <c r="L59" s="119">
        <v>20000</v>
      </c>
      <c r="M59" s="119"/>
      <c r="N59" s="119"/>
      <c r="O59" s="119"/>
      <c r="P59" s="113"/>
      <c r="Q59" s="119"/>
      <c r="R59" s="113">
        <f>SUM(C59:Q59)</f>
        <v>109900</v>
      </c>
    </row>
    <row r="60" spans="1:18" ht="15" thickBot="1">
      <c r="A60" s="133" t="s">
        <v>38</v>
      </c>
      <c r="B60" s="136"/>
      <c r="C60" s="123">
        <f>SUM(C56:C59)</f>
        <v>1118371.45</v>
      </c>
      <c r="D60" s="136">
        <f>SUM(D58:D59)</f>
        <v>50000</v>
      </c>
      <c r="E60" s="136">
        <f>SUM(E56:E59)</f>
        <v>105800</v>
      </c>
      <c r="F60" s="136">
        <f>SUM(F58)</f>
        <v>240000</v>
      </c>
      <c r="G60" s="136">
        <f>SUM(G56:G59)</f>
        <v>132959.5</v>
      </c>
      <c r="H60" s="136">
        <f>SUM(H56:H59)</f>
        <v>553400</v>
      </c>
      <c r="I60" s="136">
        <f>SUM(I56:I59)</f>
        <v>35000</v>
      </c>
      <c r="J60" s="136">
        <f>SUM(J58)</f>
        <v>470000</v>
      </c>
      <c r="K60" s="136">
        <f>SUM(K56:K59)</f>
        <v>0</v>
      </c>
      <c r="L60" s="136">
        <f>SUM(L56:L59)</f>
        <v>145000</v>
      </c>
      <c r="M60" s="136">
        <f>SUM(M56:M59)</f>
        <v>300000</v>
      </c>
      <c r="N60" s="136">
        <f>SUM(N58)</f>
        <v>120000</v>
      </c>
      <c r="O60" s="136">
        <f>SUM(O58)</f>
        <v>160000</v>
      </c>
      <c r="P60" s="136">
        <f>SUM(P56:P59)</f>
        <v>117306</v>
      </c>
      <c r="Q60" s="136"/>
      <c r="R60" s="116">
        <f>SUM(C60:P60)</f>
        <v>3547836.95</v>
      </c>
    </row>
    <row r="61" spans="1:18" ht="15" thickTop="1">
      <c r="A61" s="137" t="s">
        <v>311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312</v>
      </c>
      <c r="B62" s="125"/>
      <c r="C62" s="125"/>
      <c r="D62" s="125"/>
      <c r="E62" s="125">
        <f>100000-26482-3500</f>
        <v>70018</v>
      </c>
      <c r="F62" s="125"/>
      <c r="G62" s="125">
        <v>20000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90018</v>
      </c>
    </row>
    <row r="63" spans="1:18" ht="14.25">
      <c r="A63" s="133" t="s">
        <v>313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314</v>
      </c>
      <c r="B64" s="119"/>
      <c r="C64" s="119"/>
      <c r="D64" s="119"/>
      <c r="E64" s="119">
        <f>25000-240</f>
        <v>24760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44760</v>
      </c>
    </row>
    <row r="65" spans="1:18" ht="14.25">
      <c r="A65" s="137" t="s">
        <v>315</v>
      </c>
      <c r="B65" s="119"/>
      <c r="C65" s="119"/>
      <c r="D65" s="119"/>
      <c r="E65" s="119"/>
      <c r="F65" s="119"/>
      <c r="G65" s="119">
        <v>0</v>
      </c>
      <c r="H65" s="119">
        <v>1081920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 aca="true" t="shared" si="1" ref="R65:R71">SUM(B65:Q65)</f>
        <v>1081920</v>
      </c>
    </row>
    <row r="66" spans="1:18" ht="14.25">
      <c r="A66" s="137" t="s">
        <v>316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 t="shared" si="1"/>
        <v>0</v>
      </c>
    </row>
    <row r="67" spans="1:18" ht="14.25">
      <c r="A67" s="137" t="s">
        <v>317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20000-19840</f>
        <v>160</v>
      </c>
      <c r="M67" s="119"/>
      <c r="N67" s="119"/>
      <c r="O67" s="119"/>
      <c r="P67" s="113"/>
      <c r="Q67" s="119"/>
      <c r="R67" s="113">
        <f t="shared" si="1"/>
        <v>160</v>
      </c>
    </row>
    <row r="68" spans="1:18" ht="14.25">
      <c r="A68" s="137" t="s">
        <v>318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 t="shared" si="1"/>
        <v>60000</v>
      </c>
    </row>
    <row r="69" spans="1:18" ht="14.25">
      <c r="A69" s="137" t="s">
        <v>319</v>
      </c>
      <c r="B69" s="119"/>
      <c r="C69" s="119">
        <f>150000-13050</f>
        <v>136950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 t="shared" si="1"/>
        <v>136950</v>
      </c>
    </row>
    <row r="70" spans="1:18" ht="14.25">
      <c r="A70" s="137" t="s">
        <v>350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 t="shared" si="1"/>
        <v>20000</v>
      </c>
    </row>
    <row r="71" spans="1:18" ht="14.25">
      <c r="A71" s="137" t="s">
        <v>320</v>
      </c>
      <c r="B71" s="119"/>
      <c r="C71" s="119"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 t="shared" si="1"/>
        <v>10000</v>
      </c>
    </row>
    <row r="72" spans="1:18" ht="14.25">
      <c r="A72" s="137" t="s">
        <v>351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321</v>
      </c>
      <c r="B73" s="119"/>
      <c r="C73" s="119">
        <v>80000</v>
      </c>
      <c r="D73" s="119"/>
      <c r="E73" s="119">
        <f>100000-38200</f>
        <v>61800</v>
      </c>
      <c r="F73" s="119"/>
      <c r="G73" s="119">
        <v>25000</v>
      </c>
      <c r="H73" s="119"/>
      <c r="I73" s="119"/>
      <c r="J73" s="119"/>
      <c r="K73" s="119"/>
      <c r="L73" s="119">
        <f>30000-900</f>
        <v>29100</v>
      </c>
      <c r="M73" s="119"/>
      <c r="N73" s="119"/>
      <c r="O73" s="119"/>
      <c r="P73" s="113"/>
      <c r="Q73" s="119"/>
      <c r="R73" s="113">
        <f>SUM(B73:Q73)</f>
        <v>195900</v>
      </c>
    </row>
    <row r="74" spans="1:18" ht="14.25">
      <c r="A74" s="137" t="s">
        <v>322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323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286950</v>
      </c>
      <c r="D76" s="136">
        <v>0</v>
      </c>
      <c r="E76" s="136">
        <f>SUM(E62:E75)</f>
        <v>156578</v>
      </c>
      <c r="F76" s="136">
        <v>0</v>
      </c>
      <c r="G76" s="136">
        <f>SUM(G62:G75)</f>
        <v>65000</v>
      </c>
      <c r="H76" s="136">
        <f>SUM(H62:H75)</f>
        <v>1106920</v>
      </c>
      <c r="I76" s="136">
        <f>SUM(I62:I75)</f>
        <v>20000</v>
      </c>
      <c r="J76" s="136">
        <v>0</v>
      </c>
      <c r="K76" s="136">
        <v>0</v>
      </c>
      <c r="L76" s="136">
        <f>SUM(L63:L75)</f>
        <v>29260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1699708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123</v>
      </c>
      <c r="B82" s="321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130" t="s">
        <v>470</v>
      </c>
      <c r="O82" s="324" t="s">
        <v>107</v>
      </c>
      <c r="P82" s="324"/>
      <c r="Q82" s="268"/>
      <c r="R82" s="322" t="s">
        <v>20</v>
      </c>
    </row>
    <row r="83" spans="1:18" s="107" customFormat="1" ht="13.5" customHeight="1">
      <c r="A83" s="109" t="s">
        <v>124</v>
      </c>
      <c r="B83" s="321"/>
      <c r="C83" s="130" t="s">
        <v>108</v>
      </c>
      <c r="D83" s="130" t="s">
        <v>119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120</v>
      </c>
      <c r="L83" s="130" t="s">
        <v>115</v>
      </c>
      <c r="M83" s="130" t="s">
        <v>116</v>
      </c>
      <c r="N83" s="130" t="s">
        <v>469</v>
      </c>
      <c r="O83" s="130" t="s">
        <v>117</v>
      </c>
      <c r="P83" s="130" t="s">
        <v>118</v>
      </c>
      <c r="Q83" s="245" t="s">
        <v>122</v>
      </c>
      <c r="R83" s="323"/>
    </row>
    <row r="84" spans="1:18" ht="13.5" customHeight="1">
      <c r="A84" s="135" t="s">
        <v>324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325</v>
      </c>
      <c r="B85" s="110"/>
      <c r="C85" s="110">
        <f>150000-9532.29-8719.1</f>
        <v>131748.61</v>
      </c>
      <c r="D85" s="110"/>
      <c r="E85" s="110"/>
      <c r="F85" s="110"/>
      <c r="G85" s="110">
        <f>30000-2366.72-1607.6</f>
        <v>26025.68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157774.28999999998</v>
      </c>
    </row>
    <row r="86" spans="1:18" ht="13.5" customHeight="1">
      <c r="A86" s="133" t="s">
        <v>326</v>
      </c>
      <c r="B86" s="113"/>
      <c r="C86" s="113">
        <f>6000-160</f>
        <v>5840</v>
      </c>
      <c r="D86" s="113"/>
      <c r="E86" s="113"/>
      <c r="F86" s="113"/>
      <c r="G86" s="113">
        <f>5000-40</f>
        <v>4960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10800</v>
      </c>
    </row>
    <row r="87" spans="1:18" ht="13.5" customHeight="1">
      <c r="A87" s="133" t="s">
        <v>327</v>
      </c>
      <c r="B87" s="113"/>
      <c r="C87" s="113">
        <f>20000-1089.26</f>
        <v>18910.74</v>
      </c>
      <c r="D87" s="113"/>
      <c r="E87" s="113"/>
      <c r="F87" s="113"/>
      <c r="G87" s="113">
        <f>10000-438.7</f>
        <v>9561.3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28472.04</v>
      </c>
    </row>
    <row r="88" spans="1:18" ht="13.5" customHeight="1">
      <c r="A88" s="132" t="s">
        <v>328</v>
      </c>
      <c r="B88" s="113"/>
      <c r="C88" s="113">
        <v>20000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20000</v>
      </c>
    </row>
    <row r="89" spans="1:18" ht="13.5" customHeight="1">
      <c r="A89" s="133" t="s">
        <v>329</v>
      </c>
      <c r="B89" s="114"/>
      <c r="C89" s="114">
        <f>90000-5339.3</f>
        <v>84660.7</v>
      </c>
      <c r="D89" s="114"/>
      <c r="E89" s="114"/>
      <c r="F89" s="114"/>
      <c r="G89" s="114">
        <f>25000-1701.3</f>
        <v>23298.7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107959.4</v>
      </c>
    </row>
    <row r="90" spans="1:18" ht="13.5" customHeight="1" thickBot="1">
      <c r="A90" s="133" t="s">
        <v>38</v>
      </c>
      <c r="B90" s="103"/>
      <c r="C90" s="103">
        <f>SUM(C85:C89)</f>
        <v>261160.05</v>
      </c>
      <c r="D90" s="103">
        <v>0</v>
      </c>
      <c r="E90" s="103">
        <v>0</v>
      </c>
      <c r="F90" s="103">
        <v>0</v>
      </c>
      <c r="G90" s="103">
        <f>SUM(G84:G89)</f>
        <v>63845.67999999999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325005.73</v>
      </c>
    </row>
    <row r="91" spans="1:18" ht="13.5" customHeight="1" thickTop="1">
      <c r="A91" s="135" t="s">
        <v>330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331</v>
      </c>
      <c r="B92" s="119"/>
      <c r="C92" s="119">
        <v>9900</v>
      </c>
      <c r="D92" s="119"/>
      <c r="E92" s="119"/>
      <c r="F92" s="119"/>
      <c r="G92" s="119">
        <f>20000</f>
        <v>20000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 aca="true" t="shared" si="2" ref="R92:R99">SUM(C92:Q92)</f>
        <v>53900</v>
      </c>
    </row>
    <row r="93" spans="1:18" ht="13.5" customHeight="1">
      <c r="A93" s="133" t="s">
        <v>332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 t="shared" si="2"/>
        <v>39000</v>
      </c>
    </row>
    <row r="94" spans="1:18" ht="13.5" customHeight="1">
      <c r="A94" s="239" t="s">
        <v>333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 t="shared" si="2"/>
        <v>0</v>
      </c>
    </row>
    <row r="95" spans="1:18" ht="13.5" customHeight="1">
      <c r="A95" s="235" t="s">
        <v>334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 t="shared" si="2"/>
        <v>10000</v>
      </c>
    </row>
    <row r="96" spans="1:18" ht="13.5" customHeight="1">
      <c r="A96" s="239" t="s">
        <v>335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 t="shared" si="2"/>
        <v>20000</v>
      </c>
    </row>
    <row r="97" spans="1:18" ht="13.5" customHeight="1">
      <c r="A97" s="241" t="s">
        <v>336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 t="shared" si="2"/>
        <v>5000</v>
      </c>
    </row>
    <row r="98" spans="1:18" ht="13.5" customHeight="1">
      <c r="A98" s="239" t="s">
        <v>337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 t="shared" si="2"/>
        <v>0</v>
      </c>
    </row>
    <row r="99" spans="1:18" ht="13.5" customHeight="1">
      <c r="A99" s="132" t="s">
        <v>338</v>
      </c>
      <c r="B99" s="120"/>
      <c r="C99" s="120">
        <v>40000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 t="shared" si="2"/>
        <v>75000</v>
      </c>
    </row>
    <row r="100" spans="1:18" ht="13.5" customHeight="1" thickBot="1">
      <c r="A100" s="133" t="s">
        <v>38</v>
      </c>
      <c r="B100" s="136"/>
      <c r="C100" s="136">
        <f>SUM(C92:C99)</f>
        <v>49900</v>
      </c>
      <c r="D100" s="136">
        <v>0</v>
      </c>
      <c r="E100" s="136">
        <v>0</v>
      </c>
      <c r="F100" s="136">
        <v>0</v>
      </c>
      <c r="G100" s="136">
        <f>SUM(G92:G99)</f>
        <v>60000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202900</v>
      </c>
    </row>
    <row r="101" spans="1:18" ht="13.5" customHeight="1" thickTop="1">
      <c r="A101" s="137" t="s">
        <v>339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340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341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342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467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343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344</v>
      </c>
      <c r="B108" s="113"/>
      <c r="C108" s="119">
        <v>11000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11000</v>
      </c>
    </row>
    <row r="109" spans="1:18" ht="13.5" customHeight="1">
      <c r="A109" s="137" t="s">
        <v>345</v>
      </c>
      <c r="B109" s="120"/>
      <c r="C109" s="119">
        <v>50000</v>
      </c>
      <c r="D109" s="119"/>
      <c r="E109" s="119"/>
      <c r="F109" s="119"/>
      <c r="G109" s="119"/>
      <c r="H109" s="119">
        <f>2031000-400800</f>
        <v>1630200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1680200</v>
      </c>
    </row>
    <row r="110" spans="1:18" ht="13.5" customHeight="1">
      <c r="A110" s="137" t="s">
        <v>468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346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81000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1630200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1891200</v>
      </c>
    </row>
    <row r="113" spans="1:18" ht="13.5" customHeight="1" thickTop="1">
      <c r="A113" s="137" t="s">
        <v>347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348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411770</v>
      </c>
      <c r="C116" s="247">
        <f>SUM(C13+C21+C26+C30+C47+C54+C60+C76+C90+C100+C112)</f>
        <v>7168146.5</v>
      </c>
      <c r="D116" s="247">
        <f>SUM(D13+D21+D26+D30+D47+D54+D60+D76+D90+D100+D106+D112+D115)</f>
        <v>50000</v>
      </c>
      <c r="E116" s="247">
        <f aca="true" t="shared" si="3" ref="E116:Q116">SUM(E13+E21+E26+E30+E47+E54+E60+E76+E90+E100+E106+E112)</f>
        <v>2223548</v>
      </c>
      <c r="F116" s="247">
        <f t="shared" si="3"/>
        <v>240000</v>
      </c>
      <c r="G116" s="247">
        <f t="shared" si="3"/>
        <v>1358885.18</v>
      </c>
      <c r="H116" s="247">
        <f t="shared" si="3"/>
        <v>3405520</v>
      </c>
      <c r="I116" s="247">
        <f t="shared" si="3"/>
        <v>355000</v>
      </c>
      <c r="J116" s="247">
        <f t="shared" si="3"/>
        <v>470000</v>
      </c>
      <c r="K116" s="247">
        <f t="shared" si="3"/>
        <v>0</v>
      </c>
      <c r="L116" s="247">
        <f t="shared" si="3"/>
        <v>1313920</v>
      </c>
      <c r="M116" s="247">
        <f t="shared" si="3"/>
        <v>335000</v>
      </c>
      <c r="N116" s="247">
        <f>SUM(N13+N21+N26+N30+N47+N54+N60+N76+N90+N100+N106+N112)</f>
        <v>120000</v>
      </c>
      <c r="O116" s="247">
        <f t="shared" si="3"/>
        <v>160000</v>
      </c>
      <c r="P116" s="247">
        <f t="shared" si="3"/>
        <v>117306</v>
      </c>
      <c r="Q116" s="247">
        <f t="shared" si="3"/>
        <v>2276977</v>
      </c>
      <c r="R116" s="246">
        <f>SUM(B116:Q116)</f>
        <v>20006072.68</v>
      </c>
    </row>
    <row r="117" ht="15" thickTop="1"/>
  </sheetData>
  <sheetProtection/>
  <mergeCells count="24"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42:R43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4" t="s">
        <v>499</v>
      </c>
      <c r="B1" s="274"/>
      <c r="C1" s="274"/>
      <c r="D1" s="274"/>
      <c r="E1" s="274"/>
    </row>
    <row r="2" spans="1:5" ht="21">
      <c r="A2" s="274" t="s">
        <v>270</v>
      </c>
      <c r="B2" s="274"/>
      <c r="C2" s="274"/>
      <c r="D2" s="274"/>
      <c r="E2" s="274"/>
    </row>
    <row r="3" spans="1:8" ht="21">
      <c r="A3" s="219" t="s">
        <v>146</v>
      </c>
      <c r="B3" s="219" t="s">
        <v>147</v>
      </c>
      <c r="C3" s="220" t="s">
        <v>148</v>
      </c>
      <c r="D3" s="219" t="s">
        <v>149</v>
      </c>
      <c r="E3" s="221" t="s">
        <v>150</v>
      </c>
      <c r="H3" s="58" t="s">
        <v>500</v>
      </c>
    </row>
    <row r="4" spans="1:5" ht="21">
      <c r="A4" s="222">
        <v>1</v>
      </c>
      <c r="B4" s="255">
        <v>20815</v>
      </c>
      <c r="C4" s="223" t="s">
        <v>402</v>
      </c>
      <c r="D4" s="222" t="s">
        <v>234</v>
      </c>
      <c r="E4" s="224">
        <v>50000</v>
      </c>
    </row>
    <row r="5" spans="1:5" ht="21">
      <c r="A5" s="222">
        <v>2</v>
      </c>
      <c r="B5" s="255">
        <v>20830</v>
      </c>
      <c r="C5" s="223" t="s">
        <v>403</v>
      </c>
      <c r="D5" s="222" t="s">
        <v>233</v>
      </c>
      <c r="E5" s="224">
        <v>50000</v>
      </c>
    </row>
    <row r="6" spans="1:5" ht="21">
      <c r="A6" s="222">
        <v>3</v>
      </c>
      <c r="B6" s="255">
        <v>21085</v>
      </c>
      <c r="C6" s="223" t="s">
        <v>404</v>
      </c>
      <c r="D6" s="222" t="s">
        <v>235</v>
      </c>
      <c r="E6" s="224">
        <v>44000</v>
      </c>
    </row>
    <row r="7" spans="1:5" ht="21">
      <c r="A7" s="222">
        <v>4</v>
      </c>
      <c r="B7" s="255">
        <v>21152</v>
      </c>
      <c r="C7" s="223" t="s">
        <v>505</v>
      </c>
      <c r="D7" s="222" t="s">
        <v>236</v>
      </c>
      <c r="E7" s="224">
        <v>40000</v>
      </c>
    </row>
    <row r="8" spans="1:5" ht="21">
      <c r="A8" s="222">
        <v>5</v>
      </c>
      <c r="B8" s="255">
        <v>240127</v>
      </c>
      <c r="C8" s="223" t="s">
        <v>405</v>
      </c>
      <c r="D8" s="222" t="s">
        <v>237</v>
      </c>
      <c r="E8" s="224">
        <v>16000</v>
      </c>
    </row>
    <row r="9" spans="1:5" ht="21">
      <c r="A9" s="222">
        <v>6</v>
      </c>
      <c r="B9" s="255">
        <v>20815</v>
      </c>
      <c r="C9" s="223" t="s">
        <v>406</v>
      </c>
      <c r="D9" s="222" t="s">
        <v>238</v>
      </c>
      <c r="E9" s="224">
        <v>76000</v>
      </c>
    </row>
    <row r="10" spans="1:5" ht="21">
      <c r="A10" s="222">
        <v>7</v>
      </c>
      <c r="B10" s="255">
        <v>21101</v>
      </c>
      <c r="C10" s="223" t="s">
        <v>422</v>
      </c>
      <c r="D10" s="222" t="s">
        <v>423</v>
      </c>
      <c r="E10" s="224">
        <v>24000</v>
      </c>
    </row>
    <row r="11" spans="1:5" ht="21">
      <c r="A11" s="222">
        <v>8</v>
      </c>
      <c r="B11" s="255">
        <v>21075</v>
      </c>
      <c r="C11" s="223" t="s">
        <v>407</v>
      </c>
      <c r="D11" s="222" t="s">
        <v>239</v>
      </c>
      <c r="E11" s="224">
        <v>40000</v>
      </c>
    </row>
    <row r="12" spans="1:5" ht="21">
      <c r="A12" s="222">
        <v>9</v>
      </c>
      <c r="B12" s="255">
        <v>240133</v>
      </c>
      <c r="C12" s="223" t="s">
        <v>408</v>
      </c>
      <c r="D12" s="222" t="s">
        <v>240</v>
      </c>
      <c r="E12" s="224">
        <v>30000</v>
      </c>
    </row>
    <row r="13" spans="1:5" ht="21">
      <c r="A13" s="222">
        <v>10</v>
      </c>
      <c r="B13" s="255">
        <v>21096</v>
      </c>
      <c r="C13" s="223" t="s">
        <v>420</v>
      </c>
      <c r="D13" s="222" t="s">
        <v>421</v>
      </c>
      <c r="E13" s="224">
        <v>30000</v>
      </c>
    </row>
    <row r="14" spans="1:5" ht="21">
      <c r="A14" s="222">
        <v>11</v>
      </c>
      <c r="B14" s="255">
        <v>21144</v>
      </c>
      <c r="C14" s="223" t="s">
        <v>504</v>
      </c>
      <c r="D14" s="222" t="s">
        <v>241</v>
      </c>
      <c r="E14" s="224">
        <v>100000</v>
      </c>
    </row>
    <row r="15" spans="1:5" ht="21">
      <c r="A15" s="222">
        <v>12</v>
      </c>
      <c r="B15" s="255">
        <v>20871</v>
      </c>
      <c r="C15" s="223" t="s">
        <v>409</v>
      </c>
      <c r="D15" s="222" t="s">
        <v>242</v>
      </c>
      <c r="E15" s="224">
        <v>40000</v>
      </c>
    </row>
    <row r="16" spans="1:5" ht="21">
      <c r="A16" s="222">
        <v>13</v>
      </c>
      <c r="B16" s="255">
        <v>240147</v>
      </c>
      <c r="C16" s="223" t="s">
        <v>410</v>
      </c>
      <c r="D16" s="222" t="s">
        <v>243</v>
      </c>
      <c r="E16" s="224">
        <v>39000</v>
      </c>
    </row>
    <row r="17" spans="1:5" ht="21">
      <c r="A17" s="222">
        <v>14</v>
      </c>
      <c r="B17" s="255">
        <v>21143</v>
      </c>
      <c r="C17" s="223" t="s">
        <v>503</v>
      </c>
      <c r="D17" s="222" t="s">
        <v>411</v>
      </c>
      <c r="E17" s="224">
        <v>100000</v>
      </c>
    </row>
    <row r="18" spans="1:5" ht="21">
      <c r="A18" s="222">
        <v>15</v>
      </c>
      <c r="B18" s="255">
        <v>20816</v>
      </c>
      <c r="C18" s="223" t="s">
        <v>412</v>
      </c>
      <c r="D18" s="222" t="s">
        <v>245</v>
      </c>
      <c r="E18" s="224">
        <v>13000</v>
      </c>
    </row>
    <row r="19" spans="1:5" ht="21">
      <c r="A19" s="222">
        <v>16</v>
      </c>
      <c r="B19" s="255">
        <v>21047</v>
      </c>
      <c r="C19" s="223" t="s">
        <v>410</v>
      </c>
      <c r="D19" s="222" t="s">
        <v>273</v>
      </c>
      <c r="E19" s="224">
        <v>47000</v>
      </c>
    </row>
    <row r="20" spans="1:5" ht="21">
      <c r="A20" s="222">
        <v>17</v>
      </c>
      <c r="B20" s="255">
        <v>21066</v>
      </c>
      <c r="C20" s="223" t="s">
        <v>413</v>
      </c>
      <c r="D20" s="222" t="s">
        <v>414</v>
      </c>
      <c r="E20" s="224">
        <v>40000</v>
      </c>
    </row>
    <row r="21" spans="1:5" ht="21">
      <c r="A21" s="222">
        <v>18</v>
      </c>
      <c r="B21" s="255">
        <v>237770</v>
      </c>
      <c r="C21" s="223" t="s">
        <v>246</v>
      </c>
      <c r="D21" s="222" t="s">
        <v>247</v>
      </c>
      <c r="E21" s="224">
        <v>13780</v>
      </c>
    </row>
    <row r="22" spans="1:5" ht="21">
      <c r="A22" s="222">
        <v>19</v>
      </c>
      <c r="B22" s="255">
        <v>237770</v>
      </c>
      <c r="C22" s="223" t="s">
        <v>185</v>
      </c>
      <c r="D22" s="222" t="s">
        <v>248</v>
      </c>
      <c r="E22" s="224">
        <v>8780</v>
      </c>
    </row>
    <row r="23" spans="1:5" ht="21">
      <c r="A23" s="222">
        <v>20</v>
      </c>
      <c r="B23" s="255">
        <v>20830</v>
      </c>
      <c r="C23" s="223" t="s">
        <v>415</v>
      </c>
      <c r="D23" s="222" t="s">
        <v>249</v>
      </c>
      <c r="E23" s="224">
        <v>60000</v>
      </c>
    </row>
    <row r="24" spans="1:5" ht="21">
      <c r="A24" s="222">
        <v>21</v>
      </c>
      <c r="B24" s="255">
        <v>20766</v>
      </c>
      <c r="C24" s="223" t="s">
        <v>416</v>
      </c>
      <c r="D24" s="222" t="s">
        <v>417</v>
      </c>
      <c r="E24" s="224">
        <v>15000</v>
      </c>
    </row>
    <row r="25" spans="1:5" ht="21">
      <c r="A25" s="222">
        <v>22</v>
      </c>
      <c r="B25" s="255">
        <v>21115</v>
      </c>
      <c r="C25" s="223" t="s">
        <v>424</v>
      </c>
      <c r="D25" s="222" t="s">
        <v>425</v>
      </c>
      <c r="E25" s="224">
        <v>24000</v>
      </c>
    </row>
    <row r="26" spans="1:5" ht="21">
      <c r="A26" s="222">
        <v>23</v>
      </c>
      <c r="B26" s="255">
        <v>21129</v>
      </c>
      <c r="C26" s="223" t="s">
        <v>501</v>
      </c>
      <c r="D26" s="222" t="s">
        <v>502</v>
      </c>
      <c r="E26" s="224">
        <v>26000</v>
      </c>
    </row>
    <row r="27" spans="1:5" ht="21">
      <c r="A27" s="222">
        <v>24</v>
      </c>
      <c r="B27" s="255">
        <v>20835</v>
      </c>
      <c r="C27" s="223" t="s">
        <v>418</v>
      </c>
      <c r="D27" s="222" t="s">
        <v>244</v>
      </c>
      <c r="E27" s="224">
        <v>70000</v>
      </c>
    </row>
    <row r="28" spans="1:5" ht="21">
      <c r="A28" s="222">
        <v>25</v>
      </c>
      <c r="B28" s="255">
        <v>21054</v>
      </c>
      <c r="C28" s="223" t="s">
        <v>419</v>
      </c>
      <c r="D28" s="222" t="s">
        <v>274</v>
      </c>
      <c r="E28" s="224">
        <v>30000</v>
      </c>
    </row>
    <row r="29" spans="1:5" ht="21">
      <c r="A29" s="273" t="s">
        <v>20</v>
      </c>
      <c r="B29" s="273"/>
      <c r="C29" s="273"/>
      <c r="D29" s="273"/>
      <c r="E29" s="225">
        <f>SUM(E4:E28)</f>
        <v>1026560</v>
      </c>
    </row>
    <row r="32" spans="1:6" ht="21">
      <c r="A32" s="275" t="s">
        <v>275</v>
      </c>
      <c r="B32" s="275"/>
      <c r="C32" s="275"/>
      <c r="D32" s="275"/>
      <c r="E32" s="275"/>
      <c r="F32" s="228"/>
    </row>
    <row r="33" spans="1:6" ht="21">
      <c r="A33" s="272" t="s">
        <v>231</v>
      </c>
      <c r="B33" s="272"/>
      <c r="C33" s="272"/>
      <c r="D33" s="272"/>
      <c r="E33" s="272"/>
      <c r="F33" s="272"/>
    </row>
    <row r="34" spans="1:6" ht="21">
      <c r="A34" s="272" t="s">
        <v>232</v>
      </c>
      <c r="B34" s="272"/>
      <c r="C34" s="272"/>
      <c r="D34" s="272"/>
      <c r="E34" s="272"/>
      <c r="F34" s="272"/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6" t="s">
        <v>473</v>
      </c>
      <c r="B1" s="276"/>
      <c r="C1" s="276"/>
      <c r="D1" s="276"/>
      <c r="E1" s="70"/>
    </row>
    <row r="2" spans="1:5" ht="23.25">
      <c r="A2" s="276" t="s">
        <v>268</v>
      </c>
      <c r="B2" s="276"/>
      <c r="C2" s="276"/>
      <c r="D2" s="276"/>
      <c r="E2" s="70"/>
    </row>
    <row r="3" spans="1:4" ht="23.25">
      <c r="A3" s="276" t="s">
        <v>250</v>
      </c>
      <c r="B3" s="276"/>
      <c r="C3" s="276"/>
      <c r="D3" s="276"/>
    </row>
    <row r="5" spans="1:4" ht="23.25">
      <c r="A5" s="172" t="s">
        <v>146</v>
      </c>
      <c r="B5" s="172" t="s">
        <v>25</v>
      </c>
      <c r="C5" s="172" t="s">
        <v>73</v>
      </c>
      <c r="D5" s="172" t="s">
        <v>251</v>
      </c>
    </row>
    <row r="6" spans="1:4" ht="23.25">
      <c r="A6" s="184">
        <v>1</v>
      </c>
      <c r="B6" s="185" t="s">
        <v>252</v>
      </c>
      <c r="C6" s="186">
        <v>100000</v>
      </c>
      <c r="D6" s="185"/>
    </row>
    <row r="7" spans="1:4" ht="23.25">
      <c r="A7" s="187">
        <v>2</v>
      </c>
      <c r="B7" s="188" t="s">
        <v>253</v>
      </c>
      <c r="C7" s="189">
        <v>100000</v>
      </c>
      <c r="D7" s="188"/>
    </row>
    <row r="8" spans="1:4" ht="23.25">
      <c r="A8" s="187">
        <v>3</v>
      </c>
      <c r="B8" s="188" t="s">
        <v>254</v>
      </c>
      <c r="C8" s="189">
        <v>100000</v>
      </c>
      <c r="D8" s="188"/>
    </row>
    <row r="9" spans="1:4" ht="23.25">
      <c r="A9" s="187">
        <v>4</v>
      </c>
      <c r="B9" s="188" t="s">
        <v>255</v>
      </c>
      <c r="C9" s="189">
        <v>100000</v>
      </c>
      <c r="D9" s="188"/>
    </row>
    <row r="10" spans="1:4" ht="23.25">
      <c r="A10" s="187">
        <v>5</v>
      </c>
      <c r="B10" s="188" t="s">
        <v>256</v>
      </c>
      <c r="C10" s="189">
        <v>100000</v>
      </c>
      <c r="D10" s="188"/>
    </row>
    <row r="11" spans="1:4" ht="23.25">
      <c r="A11" s="187">
        <v>6</v>
      </c>
      <c r="B11" s="188" t="s">
        <v>257</v>
      </c>
      <c r="C11" s="189">
        <v>100000</v>
      </c>
      <c r="D11" s="188"/>
    </row>
    <row r="12" spans="1:4" ht="23.25">
      <c r="A12" s="187">
        <v>7</v>
      </c>
      <c r="B12" s="188" t="s">
        <v>258</v>
      </c>
      <c r="C12" s="189">
        <v>100000</v>
      </c>
      <c r="D12" s="188"/>
    </row>
    <row r="13" spans="1:4" ht="23.25">
      <c r="A13" s="187">
        <v>8</v>
      </c>
      <c r="B13" s="188" t="s">
        <v>259</v>
      </c>
      <c r="C13" s="189">
        <v>100000</v>
      </c>
      <c r="D13" s="188"/>
    </row>
    <row r="14" spans="1:4" ht="23.25">
      <c r="A14" s="187">
        <v>9</v>
      </c>
      <c r="B14" s="188" t="s">
        <v>260</v>
      </c>
      <c r="C14" s="189">
        <v>100000</v>
      </c>
      <c r="D14" s="188"/>
    </row>
    <row r="15" spans="1:4" ht="23.25">
      <c r="A15" s="187">
        <v>10</v>
      </c>
      <c r="B15" s="188" t="s">
        <v>261</v>
      </c>
      <c r="C15" s="189">
        <v>100000</v>
      </c>
      <c r="D15" s="188"/>
    </row>
    <row r="16" spans="1:4" ht="23.25">
      <c r="A16" s="190">
        <v>11</v>
      </c>
      <c r="B16" s="191" t="s">
        <v>262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263</v>
      </c>
      <c r="D20" s="171" t="s">
        <v>264</v>
      </c>
    </row>
    <row r="21" spans="1:3" ht="23.25">
      <c r="A21" s="171" t="s">
        <v>265</v>
      </c>
      <c r="C21" s="171" t="s">
        <v>269</v>
      </c>
    </row>
    <row r="22" spans="1:3" ht="23.25">
      <c r="A22" s="171" t="s">
        <v>266</v>
      </c>
      <c r="C22" s="171" t="s">
        <v>267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49" sqref="D49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6" t="s">
        <v>473</v>
      </c>
      <c r="B1" s="276"/>
      <c r="C1" s="276"/>
      <c r="D1" s="276"/>
      <c r="E1" s="276"/>
      <c r="F1" s="276"/>
    </row>
    <row r="2" spans="1:6" ht="23.25">
      <c r="A2" s="276" t="s">
        <v>394</v>
      </c>
      <c r="B2" s="276"/>
      <c r="C2" s="276"/>
      <c r="D2" s="276"/>
      <c r="E2" s="276"/>
      <c r="F2" s="276"/>
    </row>
    <row r="3" spans="1:6" ht="23.25">
      <c r="A3" s="278" t="s">
        <v>271</v>
      </c>
      <c r="B3" s="278"/>
      <c r="C3" s="278"/>
      <c r="D3" s="278"/>
      <c r="E3" s="278"/>
      <c r="F3" s="278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f>1125+430+589+362</f>
        <v>2506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f>1858+430+589+362</f>
        <v>3239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352</v>
      </c>
      <c r="D51" s="175" t="s">
        <v>353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426</v>
      </c>
      <c r="D52" s="175" t="s">
        <v>427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428</v>
      </c>
      <c r="D53" s="175" t="s">
        <v>429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430</v>
      </c>
      <c r="D54" s="175" t="s">
        <v>431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432</v>
      </c>
      <c r="D55" s="175" t="s">
        <v>228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433</v>
      </c>
      <c r="D56" s="175" t="s">
        <v>414</v>
      </c>
      <c r="E56" s="178">
        <v>40000</v>
      </c>
      <c r="F56" s="178">
        <v>250</v>
      </c>
    </row>
    <row r="57" spans="1:6" ht="23.25">
      <c r="A57" s="175"/>
      <c r="B57" s="176"/>
      <c r="C57" s="177"/>
      <c r="D57" s="175"/>
      <c r="E57" s="178"/>
      <c r="F57" s="178"/>
    </row>
    <row r="58" spans="1:6" ht="23.25">
      <c r="A58" s="175"/>
      <c r="B58" s="176"/>
      <c r="C58" s="177"/>
      <c r="D58" s="175"/>
      <c r="E58" s="178"/>
      <c r="F58" s="178"/>
    </row>
    <row r="59" spans="1:6" ht="24" thickBot="1">
      <c r="A59" s="279" t="s">
        <v>20</v>
      </c>
      <c r="B59" s="280"/>
      <c r="C59" s="280"/>
      <c r="D59" s="281"/>
      <c r="E59" s="182">
        <f>SUM(E5:E58)</f>
        <v>1452100</v>
      </c>
      <c r="F59" s="182">
        <f>SUM(F5:F56)</f>
        <v>26724</v>
      </c>
    </row>
    <row r="60" spans="1:6" ht="24" thickTop="1">
      <c r="A60" s="183"/>
      <c r="B60" s="183"/>
      <c r="C60" s="183"/>
      <c r="D60" s="183"/>
      <c r="E60" s="183"/>
      <c r="F60" s="183"/>
    </row>
    <row r="61" spans="1:6" ht="23.25">
      <c r="A61" s="277" t="s">
        <v>434</v>
      </c>
      <c r="B61" s="277"/>
      <c r="C61" s="277"/>
      <c r="D61" s="277"/>
      <c r="E61" s="277"/>
      <c r="F61" s="277"/>
    </row>
    <row r="62" spans="1:6" ht="23.25">
      <c r="A62" s="277" t="s">
        <v>231</v>
      </c>
      <c r="B62" s="277"/>
      <c r="C62" s="277"/>
      <c r="D62" s="277"/>
      <c r="E62" s="277"/>
      <c r="F62" s="277"/>
    </row>
    <row r="63" spans="1:6" ht="23.25">
      <c r="A63" s="277" t="s">
        <v>232</v>
      </c>
      <c r="B63" s="277"/>
      <c r="C63" s="277"/>
      <c r="D63" s="277"/>
      <c r="E63" s="277"/>
      <c r="F63" s="277"/>
    </row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4" t="s">
        <v>473</v>
      </c>
      <c r="B1" s="274"/>
      <c r="C1" s="274"/>
    </row>
    <row r="2" spans="1:3" ht="23.25">
      <c r="A2" s="274" t="s">
        <v>394</v>
      </c>
      <c r="B2" s="274"/>
      <c r="C2" s="274"/>
    </row>
    <row r="3" spans="1:3" ht="23.25">
      <c r="A3" s="274" t="s">
        <v>272</v>
      </c>
      <c r="B3" s="274"/>
      <c r="C3" s="274"/>
    </row>
    <row r="4" spans="1:3" ht="19.5" customHeight="1">
      <c r="A4" s="219" t="s">
        <v>146</v>
      </c>
      <c r="B4" s="219" t="s">
        <v>147</v>
      </c>
      <c r="C4" s="221" t="s">
        <v>277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24" thickBot="1">
      <c r="A30" s="282" t="s">
        <v>20</v>
      </c>
      <c r="B30" s="283"/>
      <c r="C30" s="263">
        <f>SUM(C5:C29)</f>
        <v>6882.12</v>
      </c>
    </row>
    <row r="31" spans="1:3" ht="24" thickTop="1">
      <c r="A31" s="264"/>
      <c r="B31" s="264"/>
      <c r="C31" s="265"/>
    </row>
    <row r="32" spans="1:3" ht="23.25">
      <c r="A32" s="275" t="s">
        <v>435</v>
      </c>
      <c r="B32" s="275"/>
      <c r="C32" s="275"/>
    </row>
    <row r="33" spans="1:3" ht="23.25">
      <c r="A33" s="284" t="s">
        <v>436</v>
      </c>
      <c r="B33" s="284"/>
      <c r="C33" s="284"/>
    </row>
    <row r="34" spans="1:3" ht="23.25">
      <c r="A34" s="272" t="s">
        <v>437</v>
      </c>
      <c r="B34" s="272"/>
      <c r="C34" s="272"/>
    </row>
  </sheetData>
  <sheetProtection/>
  <mergeCells count="7">
    <mergeCell ref="A34:C34"/>
    <mergeCell ref="A1:C1"/>
    <mergeCell ref="A2:C2"/>
    <mergeCell ref="A3:C3"/>
    <mergeCell ref="A30:B30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6"/>
  <sheetViews>
    <sheetView tabSelected="1" view="pageBreakPreview" zoomScaleSheetLayoutView="100" zoomScalePageLayoutView="0" workbookViewId="0" topLeftCell="A139">
      <selection activeCell="C55" sqref="C55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1" t="s">
        <v>463</v>
      </c>
      <c r="D1" s="291"/>
      <c r="E1" s="291"/>
    </row>
    <row r="2" spans="1:5" ht="19.5" customHeight="1">
      <c r="A2" s="288" t="s">
        <v>21</v>
      </c>
      <c r="B2" s="288"/>
      <c r="C2" s="288"/>
      <c r="D2" s="288"/>
      <c r="E2" s="288"/>
    </row>
    <row r="3" spans="1:5" ht="19.5" customHeight="1">
      <c r="A3" s="288" t="s">
        <v>510</v>
      </c>
      <c r="B3" s="288"/>
      <c r="C3" s="288"/>
      <c r="D3" s="288"/>
      <c r="E3" s="288"/>
    </row>
    <row r="4" spans="1:5" ht="19.5" customHeight="1">
      <c r="A4" s="292" t="s">
        <v>22</v>
      </c>
      <c r="B4" s="293"/>
      <c r="C4" s="294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5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6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31263538.68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</f>
        <v>303.46</v>
      </c>
      <c r="C9" s="6" t="s">
        <v>41</v>
      </c>
      <c r="D9" s="10" t="s">
        <v>363</v>
      </c>
      <c r="E9" s="11">
        <v>266.08</v>
      </c>
    </row>
    <row r="10" spans="1:5" ht="19.5" customHeight="1">
      <c r="A10" s="34">
        <v>166750</v>
      </c>
      <c r="B10" s="34">
        <f>3461.4+1435</f>
        <v>4896.4</v>
      </c>
      <c r="C10" s="6" t="s">
        <v>44</v>
      </c>
      <c r="D10" s="10" t="s">
        <v>364</v>
      </c>
      <c r="E10" s="11">
        <v>1435</v>
      </c>
    </row>
    <row r="11" spans="1:5" ht="19.5" customHeight="1">
      <c r="A11" s="34">
        <v>260000</v>
      </c>
      <c r="B11" s="34">
        <f>6709.96+4845.6</f>
        <v>11555.560000000001</v>
      </c>
      <c r="C11" s="6" t="s">
        <v>46</v>
      </c>
      <c r="D11" s="10" t="s">
        <v>365</v>
      </c>
      <c r="E11" s="35">
        <v>4845.6</v>
      </c>
    </row>
    <row r="12" spans="1:5" ht="19.5" customHeight="1">
      <c r="A12" s="34">
        <v>100800</v>
      </c>
      <c r="B12" s="34">
        <f>20000+400</f>
        <v>20400</v>
      </c>
      <c r="C12" s="6" t="s">
        <v>48</v>
      </c>
      <c r="D12" s="10" t="s">
        <v>366</v>
      </c>
      <c r="E12" s="35">
        <v>400</v>
      </c>
    </row>
    <row r="13" spans="1:5" ht="19.5" customHeight="1">
      <c r="A13" s="34">
        <v>500</v>
      </c>
      <c r="B13" s="34">
        <v>0</v>
      </c>
      <c r="C13" s="6" t="s">
        <v>81</v>
      </c>
      <c r="D13" s="10" t="s">
        <v>367</v>
      </c>
      <c r="E13" s="35">
        <v>0</v>
      </c>
    </row>
    <row r="14" spans="1:5" ht="19.5" customHeight="1">
      <c r="A14" s="34">
        <v>13207700</v>
      </c>
      <c r="B14" s="34">
        <f>1250419.28+1383075.61</f>
        <v>2633494.89</v>
      </c>
      <c r="C14" s="6" t="s">
        <v>50</v>
      </c>
      <c r="D14" s="10" t="s">
        <v>368</v>
      </c>
      <c r="E14" s="35">
        <v>1383075.61</v>
      </c>
    </row>
    <row r="15" spans="1:5" ht="19.5" customHeight="1">
      <c r="A15" s="138">
        <v>8299400</v>
      </c>
      <c r="B15" s="106">
        <f>902080</f>
        <v>902080</v>
      </c>
      <c r="C15" s="6" t="s">
        <v>133</v>
      </c>
      <c r="D15" s="10" t="s">
        <v>369</v>
      </c>
      <c r="E15" s="35">
        <v>902080</v>
      </c>
    </row>
    <row r="16" spans="1:5" ht="19.5" customHeight="1">
      <c r="A16" s="84">
        <f>SUM(A9:A15)</f>
        <v>22422850</v>
      </c>
      <c r="B16" s="84">
        <f>SUM(B9:B15)</f>
        <v>3572730.31</v>
      </c>
      <c r="C16" s="81" t="s">
        <v>20</v>
      </c>
      <c r="D16" s="85"/>
      <c r="E16" s="86">
        <f>SUM(E9:E15)</f>
        <v>2292102.29</v>
      </c>
    </row>
    <row r="17" spans="1:5" ht="19.5" customHeight="1">
      <c r="A17" s="87"/>
      <c r="B17" s="34">
        <f>500+62500</f>
        <v>63000</v>
      </c>
      <c r="C17" s="6" t="s">
        <v>37</v>
      </c>
      <c r="D17" s="10" t="s">
        <v>370</v>
      </c>
      <c r="E17" s="11">
        <v>62500</v>
      </c>
    </row>
    <row r="18" spans="1:5" ht="19.5" customHeight="1">
      <c r="A18" s="87"/>
      <c r="B18" s="34">
        <f>1368700</f>
        <v>1368700</v>
      </c>
      <c r="C18" s="6" t="s">
        <v>125</v>
      </c>
      <c r="D18" s="10" t="s">
        <v>373</v>
      </c>
      <c r="E18" s="11">
        <v>1368700</v>
      </c>
    </row>
    <row r="19" spans="1:5" ht="19.5" customHeight="1">
      <c r="A19" s="87"/>
      <c r="B19" s="34">
        <f>32.93+1271.81</f>
        <v>1304.74</v>
      </c>
      <c r="C19" s="6" t="s">
        <v>358</v>
      </c>
      <c r="D19" s="10" t="s">
        <v>390</v>
      </c>
      <c r="E19" s="11">
        <v>1271.81</v>
      </c>
    </row>
    <row r="20" spans="1:5" ht="19.5" customHeight="1">
      <c r="A20" s="87"/>
      <c r="B20" s="34">
        <f>26000+240000</f>
        <v>266000</v>
      </c>
      <c r="C20" s="6" t="s">
        <v>359</v>
      </c>
      <c r="D20" s="10" t="s">
        <v>371</v>
      </c>
      <c r="E20" s="11">
        <v>240000</v>
      </c>
    </row>
    <row r="21" spans="1:5" ht="19.5" customHeight="1">
      <c r="A21" s="87"/>
      <c r="B21" s="34">
        <f>329439.05+116317.61</f>
        <v>445756.66</v>
      </c>
      <c r="C21" s="6" t="s">
        <v>136</v>
      </c>
      <c r="D21" s="10" t="s">
        <v>372</v>
      </c>
      <c r="E21" s="11">
        <v>116317.61</v>
      </c>
    </row>
    <row r="22" spans="1:5" ht="19.5" customHeight="1">
      <c r="A22" s="87"/>
      <c r="B22" s="34">
        <f>1770600</f>
        <v>1770600</v>
      </c>
      <c r="C22" s="207" t="s">
        <v>474</v>
      </c>
      <c r="D22" s="10" t="s">
        <v>476</v>
      </c>
      <c r="E22" s="11">
        <v>1770600</v>
      </c>
    </row>
    <row r="23" spans="1:5" ht="19.5" customHeight="1">
      <c r="A23" s="87"/>
      <c r="B23" s="34">
        <f>291000</f>
        <v>291000</v>
      </c>
      <c r="C23" s="207" t="s">
        <v>475</v>
      </c>
      <c r="D23" s="10" t="s">
        <v>477</v>
      </c>
      <c r="E23" s="11">
        <v>291000</v>
      </c>
    </row>
    <row r="24" spans="1:5" ht="19.5" customHeight="1">
      <c r="A24" s="87"/>
      <c r="B24" s="34">
        <f>62685</f>
        <v>62685</v>
      </c>
      <c r="C24" s="207" t="s">
        <v>487</v>
      </c>
      <c r="D24" s="10" t="s">
        <v>479</v>
      </c>
      <c r="E24" s="11">
        <v>62685</v>
      </c>
    </row>
    <row r="25" spans="1:5" ht="19.5" customHeight="1">
      <c r="A25" s="87"/>
      <c r="B25" s="34">
        <f>1049248</f>
        <v>1049248</v>
      </c>
      <c r="C25" s="207" t="s">
        <v>484</v>
      </c>
      <c r="D25" s="10" t="s">
        <v>485</v>
      </c>
      <c r="E25" s="11">
        <v>1049248</v>
      </c>
    </row>
    <row r="26" spans="1:5" ht="19.5" customHeight="1">
      <c r="A26" s="87"/>
      <c r="B26" s="34">
        <v>71400</v>
      </c>
      <c r="C26" s="207" t="s">
        <v>486</v>
      </c>
      <c r="D26" s="10" t="s">
        <v>479</v>
      </c>
      <c r="E26" s="11">
        <v>71400</v>
      </c>
    </row>
    <row r="27" spans="1:5" ht="19.5" customHeight="1">
      <c r="A27" s="87"/>
      <c r="B27" s="34"/>
      <c r="C27" s="6"/>
      <c r="D27" s="10"/>
      <c r="E27" s="11"/>
    </row>
    <row r="28" spans="1:5" ht="19.5" customHeight="1">
      <c r="A28" s="87"/>
      <c r="B28" s="34"/>
      <c r="C28" s="6"/>
      <c r="D28" s="10"/>
      <c r="E28" s="11"/>
    </row>
    <row r="29" spans="1:5" ht="19.5" customHeight="1">
      <c r="A29" s="87"/>
      <c r="B29" s="34"/>
      <c r="C29" s="6"/>
      <c r="D29" s="10"/>
      <c r="E29" s="11"/>
    </row>
    <row r="30" spans="1:5" ht="19.5" customHeight="1">
      <c r="A30" s="87"/>
      <c r="B30" s="34"/>
      <c r="C30" s="6"/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5389694.4</v>
      </c>
      <c r="C32" s="6"/>
      <c r="D32" s="10"/>
      <c r="E32" s="37">
        <f>SUM(E17:E31)</f>
        <v>5033722.42</v>
      </c>
    </row>
    <row r="33" spans="1:5" ht="19.5" customHeight="1">
      <c r="A33" s="11"/>
      <c r="B33" s="36">
        <f>SUM(B32,B16)</f>
        <v>8962424.71</v>
      </c>
      <c r="C33" s="8" t="s">
        <v>31</v>
      </c>
      <c r="D33" s="10"/>
      <c r="E33" s="37">
        <f>SUM(E32,E16)</f>
        <v>7325824.71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</f>
        <v>155583</v>
      </c>
      <c r="C45" s="6" t="s">
        <v>32</v>
      </c>
      <c r="D45" s="10" t="s">
        <v>278</v>
      </c>
      <c r="E45" s="44">
        <v>7259</v>
      </c>
    </row>
    <row r="46" spans="1:5" ht="16.5" customHeight="1">
      <c r="A46" s="11">
        <v>2934400</v>
      </c>
      <c r="B46" s="44">
        <f>243060+243060</f>
        <v>486120</v>
      </c>
      <c r="C46" s="6" t="s">
        <v>354</v>
      </c>
      <c r="D46" s="10" t="s">
        <v>284</v>
      </c>
      <c r="E46" s="44">
        <v>243060</v>
      </c>
    </row>
    <row r="47" spans="1:5" ht="16.5" customHeight="1">
      <c r="A47" s="35">
        <f>2121400+1417500+250000+614000</f>
        <v>4402900</v>
      </c>
      <c r="B47" s="44">
        <f>339580+339580</f>
        <v>679160</v>
      </c>
      <c r="C47" s="6" t="s">
        <v>355</v>
      </c>
      <c r="D47" s="10" t="s">
        <v>291</v>
      </c>
      <c r="E47" s="44">
        <v>339580</v>
      </c>
    </row>
    <row r="48" spans="1:5" ht="16.5" customHeight="1">
      <c r="A48" s="91">
        <v>168000</v>
      </c>
      <c r="B48" s="44">
        <f>12260+16735</f>
        <v>28995</v>
      </c>
      <c r="C48" s="6" t="s">
        <v>356</v>
      </c>
      <c r="D48" s="10" t="s">
        <v>291</v>
      </c>
      <c r="E48" s="44">
        <v>16735</v>
      </c>
    </row>
    <row r="49" spans="1:5" ht="16.5" customHeight="1">
      <c r="A49" s="11">
        <v>1529000</v>
      </c>
      <c r="B49" s="44">
        <f>103385+96785</f>
        <v>200170</v>
      </c>
      <c r="C49" s="6" t="s">
        <v>357</v>
      </c>
      <c r="D49" s="10" t="s">
        <v>291</v>
      </c>
      <c r="E49" s="44">
        <v>96785</v>
      </c>
    </row>
    <row r="50" spans="1:5" ht="16.5" customHeight="1">
      <c r="A50" s="11">
        <f>1327000+261000+30000+340000</f>
        <v>1958000</v>
      </c>
      <c r="B50" s="44">
        <f>27320+24860</f>
        <v>52180</v>
      </c>
      <c r="C50" s="6" t="s">
        <v>6</v>
      </c>
      <c r="D50" s="10" t="s">
        <v>300</v>
      </c>
      <c r="E50" s="44">
        <v>24860</v>
      </c>
    </row>
    <row r="51" spans="1:5" ht="16.5" customHeight="1">
      <c r="A51" s="11">
        <f>1365000+240000+688400+505000+445000+120000+430000</f>
        <v>3793400</v>
      </c>
      <c r="B51" s="44">
        <f>51452+194111.05</f>
        <v>245563.05</v>
      </c>
      <c r="C51" s="6" t="s">
        <v>7</v>
      </c>
      <c r="D51" s="10" t="s">
        <v>306</v>
      </c>
      <c r="E51" s="44">
        <v>194111.05</v>
      </c>
    </row>
    <row r="52" spans="1:5" ht="16.5" customHeight="1">
      <c r="A52" s="11">
        <f>525000+1171920+20000+85000</f>
        <v>1801920</v>
      </c>
      <c r="B52" s="44">
        <f>65582+36630</f>
        <v>102212</v>
      </c>
      <c r="C52" s="6" t="s">
        <v>8</v>
      </c>
      <c r="D52" s="10" t="s">
        <v>311</v>
      </c>
      <c r="E52" s="44">
        <v>36630</v>
      </c>
    </row>
    <row r="53" spans="1:5" ht="16.5" customHeight="1">
      <c r="A53" s="11">
        <f>286000+70000</f>
        <v>356000</v>
      </c>
      <c r="B53" s="44">
        <f>20467.57+10526.7</f>
        <v>30994.27</v>
      </c>
      <c r="C53" s="6" t="s">
        <v>9</v>
      </c>
      <c r="D53" s="10" t="s">
        <v>324</v>
      </c>
      <c r="E53" s="44">
        <v>10526.7</v>
      </c>
    </row>
    <row r="54" spans="1:5" ht="16.5" customHeight="1">
      <c r="A54" s="11">
        <f>49900+105000+83000</f>
        <v>237900</v>
      </c>
      <c r="B54" s="44">
        <f>35000</f>
        <v>35000</v>
      </c>
      <c r="C54" s="6" t="s">
        <v>56</v>
      </c>
      <c r="D54" s="10" t="s">
        <v>330</v>
      </c>
      <c r="E54" s="44">
        <v>0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339</v>
      </c>
      <c r="E55" s="44">
        <v>0</v>
      </c>
    </row>
    <row r="56" spans="1:5" ht="16.5" customHeight="1">
      <c r="A56" s="11">
        <f>81000+2031000+180000</f>
        <v>2292000</v>
      </c>
      <c r="B56" s="44">
        <f>400800</f>
        <v>400800</v>
      </c>
      <c r="C56" s="6" t="s">
        <v>33</v>
      </c>
      <c r="D56" s="10" t="s">
        <v>343</v>
      </c>
      <c r="E56" s="44">
        <v>400800</v>
      </c>
    </row>
    <row r="57" spans="1:5" ht="16.5" customHeight="1">
      <c r="A57" s="37">
        <f>SUM(A45:A56)</f>
        <v>22422850</v>
      </c>
      <c r="B57" s="45">
        <f>SUM(B45:B56)</f>
        <v>2416777.3200000003</v>
      </c>
      <c r="C57" s="6"/>
      <c r="D57" s="10"/>
      <c r="E57" s="37">
        <f>SUM(E45:E56)</f>
        <v>1370346.75</v>
      </c>
    </row>
    <row r="58" spans="1:5" ht="16.5" customHeight="1">
      <c r="A58" s="11"/>
      <c r="B58" s="44">
        <f>500+62500</f>
        <v>63000</v>
      </c>
      <c r="C58" s="6" t="s">
        <v>37</v>
      </c>
      <c r="D58" s="10" t="s">
        <v>370</v>
      </c>
      <c r="E58" s="11">
        <v>62500</v>
      </c>
    </row>
    <row r="59" spans="1:5" ht="16.5" customHeight="1">
      <c r="A59" s="11"/>
      <c r="B59" s="34">
        <f>694800+673900</f>
        <v>1368700</v>
      </c>
      <c r="C59" s="6" t="s">
        <v>125</v>
      </c>
      <c r="D59" s="10" t="s">
        <v>373</v>
      </c>
      <c r="E59" s="11">
        <v>673900</v>
      </c>
    </row>
    <row r="60" spans="1:5" ht="16.5" customHeight="1">
      <c r="A60" s="11"/>
      <c r="B60" s="44">
        <f>78000+266000</f>
        <v>344000</v>
      </c>
      <c r="C60" s="6" t="s">
        <v>359</v>
      </c>
      <c r="D60" s="10" t="s">
        <v>371</v>
      </c>
      <c r="E60" s="44">
        <v>266000</v>
      </c>
    </row>
    <row r="61" spans="1:5" ht="16.5" customHeight="1">
      <c r="A61" s="11"/>
      <c r="B61" s="44">
        <f>41839.36+323778.5</f>
        <v>365617.86</v>
      </c>
      <c r="C61" s="6" t="s">
        <v>142</v>
      </c>
      <c r="D61" s="10" t="s">
        <v>372</v>
      </c>
      <c r="E61" s="44">
        <v>323778.5</v>
      </c>
    </row>
    <row r="62" spans="1:5" ht="16.5" customHeight="1">
      <c r="A62" s="11"/>
      <c r="B62" s="44">
        <f>185510.52</f>
        <v>185510.52</v>
      </c>
      <c r="C62" s="6" t="s">
        <v>143</v>
      </c>
      <c r="D62" s="10" t="s">
        <v>396</v>
      </c>
      <c r="E62" s="44">
        <v>0</v>
      </c>
    </row>
    <row r="63" spans="1:5" ht="16.5" customHeight="1">
      <c r="A63" s="11"/>
      <c r="B63" s="44">
        <f>1240865</f>
        <v>1240865</v>
      </c>
      <c r="C63" s="6" t="s">
        <v>462</v>
      </c>
      <c r="D63" s="10" t="s">
        <v>397</v>
      </c>
      <c r="E63" s="44">
        <v>0</v>
      </c>
    </row>
    <row r="64" spans="1:5" ht="16.5" customHeight="1">
      <c r="A64" s="11"/>
      <c r="B64" s="44">
        <f>1163300</f>
        <v>1163300</v>
      </c>
      <c r="C64" s="207" t="s">
        <v>474</v>
      </c>
      <c r="D64" s="10" t="s">
        <v>476</v>
      </c>
      <c r="E64" s="44">
        <v>1163300</v>
      </c>
    </row>
    <row r="65" spans="1:5" ht="16.5" customHeight="1">
      <c r="A65" s="11"/>
      <c r="B65" s="44">
        <f>186500</f>
        <v>186500</v>
      </c>
      <c r="C65" s="207" t="s">
        <v>475</v>
      </c>
      <c r="D65" s="10" t="s">
        <v>477</v>
      </c>
      <c r="E65" s="44">
        <v>186500</v>
      </c>
    </row>
    <row r="66" spans="1:5" ht="16.5" customHeight="1">
      <c r="A66" s="11"/>
      <c r="B66" s="44">
        <f>36000</f>
        <v>36000</v>
      </c>
      <c r="C66" s="207" t="s">
        <v>508</v>
      </c>
      <c r="D66" s="10" t="s">
        <v>479</v>
      </c>
      <c r="E66" s="44">
        <v>36000</v>
      </c>
    </row>
    <row r="67" spans="1:5" ht="16.5" customHeight="1">
      <c r="A67" s="11"/>
      <c r="B67" s="44">
        <f>1800</f>
        <v>1800</v>
      </c>
      <c r="C67" s="207" t="s">
        <v>509</v>
      </c>
      <c r="D67" s="10" t="s">
        <v>479</v>
      </c>
      <c r="E67" s="44">
        <v>1800</v>
      </c>
    </row>
    <row r="68" spans="1:5" ht="16.5" customHeight="1">
      <c r="A68" s="11"/>
      <c r="B68" s="44"/>
      <c r="C68" s="207"/>
      <c r="D68" s="10"/>
      <c r="E68" s="44"/>
    </row>
    <row r="69" spans="1:5" ht="16.5" customHeight="1">
      <c r="A69" s="11"/>
      <c r="B69" s="44"/>
      <c r="C69" s="207"/>
      <c r="D69" s="10"/>
      <c r="E69" s="44"/>
    </row>
    <row r="70" spans="1:5" ht="16.5" customHeight="1">
      <c r="A70" s="11"/>
      <c r="B70" s="44"/>
      <c r="C70" s="6"/>
      <c r="D70" s="10"/>
      <c r="E70" s="44"/>
    </row>
    <row r="71" spans="1:5" ht="16.5" customHeight="1">
      <c r="A71" s="11"/>
      <c r="B71" s="44"/>
      <c r="C71" s="6"/>
      <c r="D71" s="10"/>
      <c r="E71" s="44"/>
    </row>
    <row r="72" spans="1:5" ht="16.5" customHeight="1">
      <c r="A72" s="11"/>
      <c r="B72" s="36">
        <f>SUM(B58:B71)</f>
        <v>4955293.38</v>
      </c>
      <c r="C72" s="6"/>
      <c r="D72" s="10"/>
      <c r="E72" s="37">
        <f>SUM(E58:E71)</f>
        <v>2713778.5</v>
      </c>
    </row>
    <row r="73" spans="1:5" ht="16.5" customHeight="1">
      <c r="A73" s="11"/>
      <c r="B73" s="31">
        <f>B57+B72</f>
        <v>7372070.7</v>
      </c>
      <c r="C73" s="8"/>
      <c r="D73" s="10"/>
      <c r="E73" s="31">
        <f>E57+E72</f>
        <v>4084125.25</v>
      </c>
    </row>
    <row r="74" spans="1:5" ht="16.5" customHeight="1">
      <c r="A74" s="11"/>
      <c r="B74" s="36">
        <f>B33-B73</f>
        <v>1590354.0100000007</v>
      </c>
      <c r="C74" s="6"/>
      <c r="D74" s="10"/>
      <c r="E74" s="37">
        <f>E33-E73</f>
        <v>3241699.46</v>
      </c>
    </row>
    <row r="75" spans="1:5" ht="16.5" customHeight="1" thickBot="1">
      <c r="A75" s="90"/>
      <c r="B75" s="46">
        <f>B7+B74</f>
        <v>34505238.14</v>
      </c>
      <c r="C75" s="47"/>
      <c r="D75" s="89"/>
      <c r="E75" s="46">
        <f>E7+E74</f>
        <v>34505238.14</v>
      </c>
    </row>
    <row r="76" spans="1:5" ht="16.5" customHeight="1" thickTop="1">
      <c r="A76" s="23"/>
      <c r="B76" s="39"/>
      <c r="C76" s="47"/>
      <c r="D76" s="12"/>
      <c r="E76" s="39"/>
    </row>
    <row r="77" spans="1:5" ht="16.5" customHeight="1">
      <c r="A77" s="6" t="s">
        <v>12</v>
      </c>
      <c r="B77" s="16"/>
      <c r="C77" s="22"/>
      <c r="D77" s="22"/>
      <c r="E77" s="22"/>
    </row>
    <row r="78" spans="1:5" ht="16.5" customHeight="1">
      <c r="A78" s="48" t="s">
        <v>13</v>
      </c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89" t="s">
        <v>16</v>
      </c>
      <c r="B81" s="289"/>
      <c r="C81" s="289"/>
      <c r="D81" s="289"/>
      <c r="E81" s="289"/>
    </row>
    <row r="82" spans="1:5" ht="16.5" customHeight="1">
      <c r="A82" s="289" t="s">
        <v>95</v>
      </c>
      <c r="B82" s="289"/>
      <c r="C82" s="289"/>
      <c r="D82" s="289"/>
      <c r="E82" s="289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89" t="s">
        <v>14</v>
      </c>
      <c r="B84" s="289"/>
      <c r="C84" s="289"/>
      <c r="D84" s="289"/>
      <c r="E84" s="289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89" t="s">
        <v>132</v>
      </c>
      <c r="B87" s="289"/>
      <c r="C87" s="289"/>
      <c r="D87" s="289"/>
      <c r="E87" s="289"/>
    </row>
    <row r="88" spans="1:5" ht="16.5" customHeight="1">
      <c r="A88" s="289" t="s">
        <v>15</v>
      </c>
      <c r="B88" s="289"/>
      <c r="C88" s="289"/>
      <c r="D88" s="289"/>
      <c r="E88" s="289"/>
    </row>
    <row r="89" spans="1:5" ht="16.5" customHeight="1">
      <c r="A89" s="290">
        <v>240300</v>
      </c>
      <c r="B89" s="290"/>
      <c r="C89" s="290"/>
      <c r="D89" s="290"/>
      <c r="E89" s="290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8" t="s">
        <v>511</v>
      </c>
      <c r="B91" s="288"/>
      <c r="C91" s="288"/>
      <c r="D91" s="288"/>
      <c r="E91" s="288"/>
    </row>
    <row r="92" spans="1:5" ht="19.5" customHeight="1">
      <c r="A92" s="288" t="s">
        <v>17</v>
      </c>
      <c r="B92" s="288"/>
      <c r="C92" s="288"/>
      <c r="D92" s="288"/>
      <c r="E92" s="288"/>
    </row>
    <row r="93" spans="1:5" ht="19.5" customHeight="1">
      <c r="A93" s="286" t="s">
        <v>134</v>
      </c>
      <c r="B93" s="286"/>
      <c r="C93" s="25"/>
      <c r="D93" s="25"/>
      <c r="E93" s="47">
        <v>2819.5</v>
      </c>
    </row>
    <row r="94" spans="1:5" ht="19.5" customHeight="1">
      <c r="A94" s="51" t="s">
        <v>18</v>
      </c>
      <c r="B94" s="51"/>
      <c r="C94" s="25"/>
      <c r="D94" s="25"/>
      <c r="E94" s="47">
        <v>39950</v>
      </c>
    </row>
    <row r="95" spans="1:5" ht="19.5" customHeight="1">
      <c r="A95" s="51" t="s">
        <v>401</v>
      </c>
      <c r="B95" s="51"/>
      <c r="C95" s="25"/>
      <c r="D95" s="25"/>
      <c r="E95" s="47">
        <v>75.05</v>
      </c>
    </row>
    <row r="96" spans="1:5" ht="19.5" customHeight="1">
      <c r="A96" s="51" t="s">
        <v>19</v>
      </c>
      <c r="B96" s="51"/>
      <c r="C96" s="25"/>
      <c r="D96" s="25"/>
      <c r="E96" s="47">
        <v>90.06</v>
      </c>
    </row>
    <row r="97" spans="1:5" ht="19.5" customHeight="1">
      <c r="A97" s="286" t="s">
        <v>79</v>
      </c>
      <c r="B97" s="286"/>
      <c r="C97" s="286"/>
      <c r="D97" s="25"/>
      <c r="E97" s="47">
        <v>724</v>
      </c>
    </row>
    <row r="98" spans="1:5" ht="19.5" customHeight="1">
      <c r="A98" s="49" t="s">
        <v>442</v>
      </c>
      <c r="B98" s="6"/>
      <c r="C98" s="6"/>
      <c r="D98" s="16"/>
      <c r="E98" s="49">
        <v>5659</v>
      </c>
    </row>
    <row r="99" spans="1:5" ht="19.5" customHeight="1">
      <c r="A99" s="286" t="s">
        <v>507</v>
      </c>
      <c r="B99" s="286"/>
      <c r="C99" s="286"/>
      <c r="D99" s="16"/>
      <c r="E99" s="49">
        <v>67000</v>
      </c>
    </row>
    <row r="100" spans="1:5" ht="19.5" customHeight="1">
      <c r="A100" s="25" t="s">
        <v>20</v>
      </c>
      <c r="B100" s="25"/>
      <c r="C100" s="6"/>
      <c r="D100" s="16"/>
      <c r="E100" s="50">
        <f>SUM(E93:E99)</f>
        <v>116317.61</v>
      </c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25"/>
      <c r="D102" s="16"/>
      <c r="E102" s="50"/>
    </row>
    <row r="103" spans="1:5" ht="19.5" customHeight="1">
      <c r="A103" s="287" t="s">
        <v>512</v>
      </c>
      <c r="B103" s="287"/>
      <c r="C103" s="287"/>
      <c r="D103" s="287"/>
      <c r="E103" s="287"/>
    </row>
    <row r="104" spans="1:5" ht="19.5" customHeight="1">
      <c r="A104" s="288" t="s">
        <v>17</v>
      </c>
      <c r="B104" s="288"/>
      <c r="C104" s="288"/>
      <c r="D104" s="288"/>
      <c r="E104" s="288"/>
    </row>
    <row r="105" spans="1:5" ht="19.5" customHeight="1">
      <c r="A105" s="286" t="s">
        <v>134</v>
      </c>
      <c r="B105" s="286"/>
      <c r="C105" s="25"/>
      <c r="D105" s="25"/>
      <c r="E105" s="47">
        <v>2819.5</v>
      </c>
    </row>
    <row r="106" spans="1:5" ht="19.5" customHeight="1">
      <c r="A106" s="51" t="s">
        <v>442</v>
      </c>
      <c r="B106" s="51"/>
      <c r="C106" s="25"/>
      <c r="D106" s="25"/>
      <c r="E106" s="47">
        <v>5659</v>
      </c>
    </row>
    <row r="107" spans="1:5" ht="19.5" customHeight="1">
      <c r="A107" s="286" t="s">
        <v>506</v>
      </c>
      <c r="B107" s="286"/>
      <c r="C107" s="286"/>
      <c r="D107" s="16"/>
      <c r="E107" s="49">
        <v>29500</v>
      </c>
    </row>
    <row r="108" spans="1:5" ht="19.5" customHeight="1">
      <c r="A108" s="286" t="s">
        <v>443</v>
      </c>
      <c r="B108" s="286"/>
      <c r="C108" s="286"/>
      <c r="D108" s="16"/>
      <c r="E108" s="49">
        <v>285800</v>
      </c>
    </row>
    <row r="109" spans="1:5" ht="19.5" customHeight="1">
      <c r="A109" s="25" t="s">
        <v>20</v>
      </c>
      <c r="B109" s="25"/>
      <c r="C109" s="25"/>
      <c r="D109" s="16"/>
      <c r="E109" s="52">
        <f>SUM(E105:E108)</f>
        <v>323778.5</v>
      </c>
    </row>
    <row r="110" spans="1:5" ht="19.5" customHeight="1">
      <c r="A110" s="25"/>
      <c r="B110" s="25"/>
      <c r="C110" s="25"/>
      <c r="D110" s="16"/>
      <c r="E110" s="52"/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88" t="s">
        <v>513</v>
      </c>
      <c r="B112" s="288"/>
      <c r="C112" s="288"/>
      <c r="D112" s="288"/>
      <c r="E112" s="288"/>
    </row>
    <row r="113" spans="1:5" ht="19.5" customHeight="1">
      <c r="A113" s="288" t="s">
        <v>144</v>
      </c>
      <c r="B113" s="288"/>
      <c r="C113" s="288"/>
      <c r="D113" s="288"/>
      <c r="E113" s="288"/>
    </row>
    <row r="114" spans="1:5" ht="19.5" customHeight="1">
      <c r="A114" s="51" t="s">
        <v>449</v>
      </c>
      <c r="B114" s="51"/>
      <c r="C114" s="25"/>
      <c r="D114" s="25"/>
      <c r="E114" s="47">
        <v>7000</v>
      </c>
    </row>
    <row r="115" spans="1:5" ht="19.5" customHeight="1">
      <c r="A115" s="51" t="s">
        <v>450</v>
      </c>
      <c r="B115" s="51"/>
      <c r="C115" s="25"/>
      <c r="D115" s="25"/>
      <c r="E115" s="47">
        <v>5000</v>
      </c>
    </row>
    <row r="116" spans="1:5" ht="19.5" customHeight="1">
      <c r="A116" s="51" t="s">
        <v>451</v>
      </c>
      <c r="B116" s="47"/>
      <c r="C116" s="47"/>
      <c r="D116" s="47"/>
      <c r="E116" s="47">
        <v>70630.56</v>
      </c>
    </row>
    <row r="117" spans="1:5" ht="19.5" customHeight="1">
      <c r="A117" s="51" t="s">
        <v>452</v>
      </c>
      <c r="B117" s="51"/>
      <c r="C117" s="25"/>
      <c r="D117" s="25"/>
      <c r="E117" s="47">
        <v>11771.76</v>
      </c>
    </row>
    <row r="118" spans="1:5" ht="19.5" customHeight="1">
      <c r="A118" s="51" t="s">
        <v>453</v>
      </c>
      <c r="B118" s="51"/>
      <c r="C118" s="51"/>
      <c r="D118" s="25"/>
      <c r="E118" s="47">
        <v>26611.2</v>
      </c>
    </row>
    <row r="119" spans="1:5" ht="19.5" customHeight="1">
      <c r="A119" s="286" t="s">
        <v>454</v>
      </c>
      <c r="B119" s="286"/>
      <c r="C119" s="286"/>
      <c r="D119" s="25"/>
      <c r="E119" s="47">
        <v>9676.8</v>
      </c>
    </row>
    <row r="120" spans="1:5" ht="19.5" customHeight="1">
      <c r="A120" s="51" t="s">
        <v>444</v>
      </c>
      <c r="B120" s="51"/>
      <c r="C120" s="51"/>
      <c r="D120" s="25"/>
      <c r="E120" s="47">
        <v>8970</v>
      </c>
    </row>
    <row r="121" spans="1:5" ht="19.5" customHeight="1">
      <c r="A121" s="51" t="s">
        <v>445</v>
      </c>
      <c r="B121" s="51"/>
      <c r="C121" s="51"/>
      <c r="D121" s="25"/>
      <c r="E121" s="47">
        <v>6400.2</v>
      </c>
    </row>
    <row r="122" spans="1:5" ht="19.5" customHeight="1">
      <c r="A122" s="286" t="s">
        <v>446</v>
      </c>
      <c r="B122" s="286"/>
      <c r="C122" s="286"/>
      <c r="D122" s="25"/>
      <c r="E122" s="47">
        <v>18000</v>
      </c>
    </row>
    <row r="123" spans="1:5" ht="19.5" customHeight="1">
      <c r="A123" s="286" t="s">
        <v>447</v>
      </c>
      <c r="B123" s="286"/>
      <c r="C123" s="286"/>
      <c r="D123" s="25"/>
      <c r="E123" s="47">
        <v>12000</v>
      </c>
    </row>
    <row r="124" spans="1:5" ht="19.5" customHeight="1">
      <c r="A124" s="286" t="s">
        <v>448</v>
      </c>
      <c r="B124" s="286"/>
      <c r="C124" s="286"/>
      <c r="D124" s="16"/>
      <c r="E124" s="49">
        <v>9450</v>
      </c>
    </row>
    <row r="125" spans="1:5" ht="19.5" customHeight="1">
      <c r="A125" s="25" t="s">
        <v>20</v>
      </c>
      <c r="B125" s="25"/>
      <c r="C125" s="25"/>
      <c r="D125" s="16"/>
      <c r="E125" s="52">
        <f>SUM(E114:E124)</f>
        <v>185510.52000000002</v>
      </c>
    </row>
    <row r="126" spans="1:5" ht="19.5" customHeight="1">
      <c r="A126" s="287"/>
      <c r="B126" s="287"/>
      <c r="C126" s="287"/>
      <c r="D126" s="287"/>
      <c r="E126" s="287"/>
    </row>
    <row r="127" spans="1:5" ht="19.5" customHeight="1">
      <c r="A127" s="288"/>
      <c r="B127" s="288"/>
      <c r="C127" s="288"/>
      <c r="D127" s="288"/>
      <c r="E127" s="288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88" t="s">
        <v>514</v>
      </c>
      <c r="B132" s="288"/>
      <c r="C132" s="288"/>
      <c r="D132" s="288"/>
      <c r="E132" s="288"/>
    </row>
    <row r="133" spans="1:5" ht="19.5" customHeight="1">
      <c r="A133" s="288" t="s">
        <v>455</v>
      </c>
      <c r="B133" s="288"/>
      <c r="C133" s="288"/>
      <c r="D133" s="288"/>
      <c r="E133" s="288"/>
    </row>
    <row r="134" spans="1:5" ht="19.5" customHeight="1">
      <c r="A134" s="286" t="s">
        <v>456</v>
      </c>
      <c r="B134" s="286"/>
      <c r="C134" s="286"/>
      <c r="D134" s="25"/>
      <c r="E134" s="47">
        <v>516117</v>
      </c>
    </row>
    <row r="135" spans="1:5" ht="19.5" customHeight="1">
      <c r="A135" s="286" t="s">
        <v>457</v>
      </c>
      <c r="B135" s="286"/>
      <c r="C135" s="286"/>
      <c r="D135" s="25"/>
      <c r="E135" s="47">
        <v>334432</v>
      </c>
    </row>
    <row r="136" spans="1:5" ht="19.5" customHeight="1">
      <c r="A136" s="286" t="s">
        <v>458</v>
      </c>
      <c r="B136" s="286"/>
      <c r="C136" s="286"/>
      <c r="D136" s="25"/>
      <c r="E136" s="47">
        <v>147554</v>
      </c>
    </row>
    <row r="137" spans="1:5" ht="19.5" customHeight="1">
      <c r="A137" s="286" t="s">
        <v>459</v>
      </c>
      <c r="B137" s="286"/>
      <c r="C137" s="286"/>
      <c r="D137" s="25"/>
      <c r="E137" s="47">
        <v>26550</v>
      </c>
    </row>
    <row r="138" spans="1:5" ht="19.5" customHeight="1">
      <c r="A138" s="286" t="s">
        <v>460</v>
      </c>
      <c r="B138" s="286"/>
      <c r="C138" s="286"/>
      <c r="D138" s="25"/>
      <c r="E138" s="47">
        <v>216212</v>
      </c>
    </row>
    <row r="139" spans="1:5" ht="19.5" customHeight="1">
      <c r="A139" s="285" t="s">
        <v>461</v>
      </c>
      <c r="B139" s="285"/>
      <c r="C139" s="285"/>
      <c r="D139" s="25"/>
      <c r="E139" s="25">
        <f>SUM(E134:E138)</f>
        <v>1240865</v>
      </c>
    </row>
    <row r="140" spans="1:5" ht="19.5" customHeight="1">
      <c r="A140" s="51"/>
      <c r="B140" s="51"/>
      <c r="C140" s="25"/>
      <c r="D140" s="25"/>
      <c r="E140" s="47">
        <v>0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25"/>
      <c r="B146" s="25"/>
      <c r="C146" s="25"/>
      <c r="D146" s="16"/>
      <c r="E146" s="52">
        <v>0</v>
      </c>
    </row>
    <row r="147" spans="1:5" ht="19.5" customHeight="1">
      <c r="A147" s="25"/>
      <c r="B147" s="25"/>
      <c r="C147" s="25"/>
      <c r="D147" s="16"/>
      <c r="E147" s="52"/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1"/>
      <c r="C152" s="25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3"/>
      <c r="B802" s="3"/>
      <c r="E802" s="5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</sheetData>
  <sheetProtection/>
  <mergeCells count="37">
    <mergeCell ref="A82:E82"/>
    <mergeCell ref="A119:C119"/>
    <mergeCell ref="C1:E1"/>
    <mergeCell ref="A2:E2"/>
    <mergeCell ref="A3:E3"/>
    <mergeCell ref="A4:B4"/>
    <mergeCell ref="C4:C6"/>
    <mergeCell ref="A81:E81"/>
    <mergeCell ref="A84:E84"/>
    <mergeCell ref="A89:E89"/>
    <mergeCell ref="A87:E87"/>
    <mergeCell ref="A88:E88"/>
    <mergeCell ref="A92:E92"/>
    <mergeCell ref="A91:E91"/>
    <mergeCell ref="A93:B93"/>
    <mergeCell ref="A112:E112"/>
    <mergeCell ref="A103:E103"/>
    <mergeCell ref="A104:E104"/>
    <mergeCell ref="A105:B105"/>
    <mergeCell ref="A99:C99"/>
    <mergeCell ref="A107:C107"/>
    <mergeCell ref="A97:C97"/>
    <mergeCell ref="A135:C135"/>
    <mergeCell ref="A136:C136"/>
    <mergeCell ref="A137:C137"/>
    <mergeCell ref="A138:C138"/>
    <mergeCell ref="A108:C108"/>
    <mergeCell ref="A134:C134"/>
    <mergeCell ref="A127:E127"/>
    <mergeCell ref="A123:C123"/>
    <mergeCell ref="A113:E113"/>
    <mergeCell ref="A139:C139"/>
    <mergeCell ref="A124:C124"/>
    <mergeCell ref="A126:E126"/>
    <mergeCell ref="A132:E132"/>
    <mergeCell ref="A133:E133"/>
    <mergeCell ref="A122:C122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">
      <selection activeCell="A73" sqref="A73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710937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87"/>
      <c r="B1" s="287"/>
      <c r="C1" s="287"/>
      <c r="D1" s="287"/>
      <c r="E1" s="287"/>
      <c r="F1" s="287"/>
    </row>
    <row r="2" spans="1:6" ht="18.75">
      <c r="A2" s="287" t="s">
        <v>490</v>
      </c>
      <c r="B2" s="287"/>
      <c r="C2" s="287"/>
      <c r="D2" s="287"/>
      <c r="E2" s="287"/>
      <c r="F2" s="287"/>
    </row>
    <row r="3" spans="1:6" ht="18.75">
      <c r="A3" s="304" t="s">
        <v>80</v>
      </c>
      <c r="B3" s="304"/>
      <c r="C3" s="304"/>
      <c r="D3" s="304"/>
      <c r="E3" s="304"/>
      <c r="F3" s="304"/>
    </row>
    <row r="4" spans="1:6" ht="18.75">
      <c r="A4" s="299" t="s">
        <v>11</v>
      </c>
      <c r="B4" s="300"/>
      <c r="C4" s="301"/>
      <c r="D4" s="301"/>
      <c r="E4" s="301"/>
      <c r="F4" s="302"/>
    </row>
    <row r="5" spans="1:6" ht="18.75">
      <c r="A5" s="298" t="s">
        <v>25</v>
      </c>
      <c r="B5" s="297" t="s">
        <v>3</v>
      </c>
      <c r="C5" s="297" t="s">
        <v>23</v>
      </c>
      <c r="D5" s="297" t="s">
        <v>38</v>
      </c>
      <c r="E5" s="297" t="s">
        <v>39</v>
      </c>
      <c r="F5" s="144" t="s">
        <v>145</v>
      </c>
    </row>
    <row r="6" spans="1:6" ht="18.75">
      <c r="A6" s="298"/>
      <c r="B6" s="297"/>
      <c r="C6" s="297"/>
      <c r="D6" s="297"/>
      <c r="E6" s="297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363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0</v>
      </c>
      <c r="E9" s="91">
        <v>0</v>
      </c>
      <c r="F9" s="91">
        <f>E9-C9</f>
        <v>-261700</v>
      </c>
    </row>
    <row r="10" spans="1:6" ht="18.75">
      <c r="A10" s="160" t="s">
        <v>43</v>
      </c>
      <c r="B10" s="146">
        <v>411002</v>
      </c>
      <c r="C10" s="91">
        <v>114000</v>
      </c>
      <c r="D10" s="229">
        <v>266.08</v>
      </c>
      <c r="E10" s="91">
        <f>37.38+266.08</f>
        <v>303.46</v>
      </c>
      <c r="F10" s="91">
        <f>E10-C10</f>
        <v>-113696.54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0</v>
      </c>
      <c r="E11" s="91">
        <v>0</v>
      </c>
      <c r="F11" s="91">
        <f>E11-C11</f>
        <v>-12000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266.08</v>
      </c>
      <c r="E12" s="148">
        <f>SUM(E9:E11)</f>
        <v>303.46</v>
      </c>
      <c r="F12" s="148">
        <f>SUM(F9:F11)</f>
        <v>-387396.54</v>
      </c>
    </row>
    <row r="13" spans="1:6" ht="19.5" thickTop="1">
      <c r="A13" s="162" t="s">
        <v>44</v>
      </c>
      <c r="B13" s="143" t="s">
        <v>364</v>
      </c>
      <c r="C13" s="91"/>
      <c r="D13" s="91"/>
      <c r="E13" s="91"/>
      <c r="F13" s="91"/>
    </row>
    <row r="14" spans="1:6" ht="18.75">
      <c r="A14" s="266" t="s">
        <v>438</v>
      </c>
      <c r="B14" s="16" t="s">
        <v>439</v>
      </c>
      <c r="C14" s="91">
        <v>1300</v>
      </c>
      <c r="D14" s="91">
        <v>0</v>
      </c>
      <c r="E14" s="91">
        <f>19.4</f>
        <v>19.4</v>
      </c>
      <c r="F14" s="91">
        <f>E14-C14</f>
        <v>-1280.6</v>
      </c>
    </row>
    <row r="15" spans="1:6" ht="18.75">
      <c r="A15" s="160" t="s">
        <v>45</v>
      </c>
      <c r="B15" s="146">
        <v>412106</v>
      </c>
      <c r="C15" s="91">
        <v>1600</v>
      </c>
      <c r="D15" s="91">
        <v>275</v>
      </c>
      <c r="E15" s="91">
        <f>52+275</f>
        <v>327</v>
      </c>
      <c r="F15" s="91">
        <f aca="true" t="shared" si="0" ref="F15:F23">E15-C15</f>
        <v>-1273</v>
      </c>
    </row>
    <row r="16" spans="1:6" ht="18.75">
      <c r="A16" s="160" t="s">
        <v>374</v>
      </c>
      <c r="B16" s="146">
        <v>412111</v>
      </c>
      <c r="C16" s="91">
        <v>150</v>
      </c>
      <c r="D16" s="231">
        <v>0</v>
      </c>
      <c r="E16" s="91">
        <v>0</v>
      </c>
      <c r="F16" s="91">
        <f t="shared" si="0"/>
        <v>-150</v>
      </c>
    </row>
    <row r="17" spans="1:6" ht="18.75">
      <c r="A17" s="160" t="s">
        <v>82</v>
      </c>
      <c r="B17" s="146">
        <v>412128</v>
      </c>
      <c r="C17" s="91">
        <v>300</v>
      </c>
      <c r="D17" s="91">
        <v>0</v>
      </c>
      <c r="E17" s="91">
        <v>0</v>
      </c>
      <c r="F17" s="91">
        <f t="shared" si="0"/>
        <v>-300</v>
      </c>
    </row>
    <row r="18" spans="1:6" ht="18.75">
      <c r="A18" s="160" t="s">
        <v>137</v>
      </c>
      <c r="B18" s="10" t="s">
        <v>375</v>
      </c>
      <c r="C18" s="91">
        <v>82000</v>
      </c>
      <c r="D18" s="91">
        <v>0</v>
      </c>
      <c r="E18" s="91">
        <f>1200</f>
        <v>1200</v>
      </c>
      <c r="F18" s="91">
        <f t="shared" si="0"/>
        <v>-80800</v>
      </c>
    </row>
    <row r="19" spans="1:6" ht="18.75">
      <c r="A19" s="160" t="s">
        <v>138</v>
      </c>
      <c r="B19" s="10" t="s">
        <v>376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377</v>
      </c>
      <c r="B20" s="10" t="s">
        <v>378</v>
      </c>
      <c r="C20" s="91">
        <v>60000</v>
      </c>
      <c r="D20" s="91">
        <v>0</v>
      </c>
      <c r="E20" s="91">
        <v>0</v>
      </c>
      <c r="F20" s="91">
        <f t="shared" si="0"/>
        <v>-60000</v>
      </c>
    </row>
    <row r="21" spans="1:6" ht="18.75">
      <c r="A21" s="160" t="s">
        <v>139</v>
      </c>
      <c r="B21" s="10" t="s">
        <v>379</v>
      </c>
      <c r="C21" s="91">
        <v>17000</v>
      </c>
      <c r="D21" s="91">
        <v>1060</v>
      </c>
      <c r="E21" s="91">
        <f>2170+1060</f>
        <v>3230</v>
      </c>
      <c r="F21" s="91">
        <f t="shared" si="0"/>
        <v>-13770</v>
      </c>
    </row>
    <row r="22" spans="1:6" ht="18.75">
      <c r="A22" s="160" t="s">
        <v>140</v>
      </c>
      <c r="B22" s="10" t="s">
        <v>380</v>
      </c>
      <c r="C22" s="91">
        <v>400</v>
      </c>
      <c r="D22" s="91">
        <v>100</v>
      </c>
      <c r="E22" s="91">
        <f>20+100</f>
        <v>120</v>
      </c>
      <c r="F22" s="91">
        <f t="shared" si="0"/>
        <v>-280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1435</v>
      </c>
      <c r="E23" s="148">
        <f>SUM(E14:E22)</f>
        <v>4896.4</v>
      </c>
      <c r="F23" s="148">
        <f t="shared" si="0"/>
        <v>-161853.6</v>
      </c>
    </row>
    <row r="24" spans="1:6" ht="19.5" thickTop="1">
      <c r="A24" s="163" t="s">
        <v>46</v>
      </c>
      <c r="B24" s="85" t="s">
        <v>365</v>
      </c>
      <c r="C24" s="91"/>
      <c r="D24" s="91"/>
      <c r="E24" s="91"/>
      <c r="F24" s="91"/>
    </row>
    <row r="25" spans="1:6" ht="18.75">
      <c r="A25" s="160" t="s">
        <v>47</v>
      </c>
      <c r="B25" s="10" t="s">
        <v>381</v>
      </c>
      <c r="C25" s="91">
        <v>260000</v>
      </c>
      <c r="D25" s="91">
        <v>4845.6</v>
      </c>
      <c r="E25" s="91">
        <f>6709.96+4845.6</f>
        <v>11555.560000000001</v>
      </c>
      <c r="F25" s="91">
        <f>E25-C25</f>
        <v>-248444.44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4845.6</v>
      </c>
      <c r="E26" s="148">
        <f>SUM(E25)</f>
        <v>11555.560000000001</v>
      </c>
      <c r="F26" s="148">
        <f>SUM(F25)</f>
        <v>-248444.44</v>
      </c>
    </row>
    <row r="27" spans="1:6" ht="19.5" thickTop="1">
      <c r="A27" s="163" t="s">
        <v>48</v>
      </c>
      <c r="B27" s="85" t="s">
        <v>366</v>
      </c>
      <c r="C27" s="91"/>
      <c r="D27" s="91"/>
      <c r="E27" s="91"/>
      <c r="F27" s="91"/>
    </row>
    <row r="28" spans="1:6" ht="18.75">
      <c r="A28" s="160" t="s">
        <v>49</v>
      </c>
      <c r="B28" s="10" t="s">
        <v>382</v>
      </c>
      <c r="C28" s="91">
        <v>100000</v>
      </c>
      <c r="D28" s="150">
        <v>0</v>
      </c>
      <c r="E28" s="91">
        <f>20000</f>
        <v>20000</v>
      </c>
      <c r="F28" s="91">
        <f>E28-C28</f>
        <v>-80000</v>
      </c>
    </row>
    <row r="29" spans="1:6" ht="18.75">
      <c r="A29" s="160" t="s">
        <v>83</v>
      </c>
      <c r="B29" s="10" t="s">
        <v>383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384</v>
      </c>
      <c r="C30" s="91">
        <v>700</v>
      </c>
      <c r="D30" s="150">
        <v>400</v>
      </c>
      <c r="E30" s="91">
        <f>400</f>
        <v>400</v>
      </c>
      <c r="F30" s="91">
        <f>E30-C30</f>
        <v>-300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400</v>
      </c>
      <c r="E31" s="148">
        <f>SUM(E28:E30)</f>
        <v>20400</v>
      </c>
      <c r="F31" s="148">
        <f>SUM(F28:F30)</f>
        <v>-80400</v>
      </c>
    </row>
    <row r="32" spans="1:6" ht="19.5" thickTop="1">
      <c r="A32" s="159" t="s">
        <v>81</v>
      </c>
      <c r="B32" s="85" t="s">
        <v>367</v>
      </c>
      <c r="C32" s="91"/>
      <c r="D32" s="91"/>
      <c r="E32" s="91"/>
      <c r="F32" s="91"/>
    </row>
    <row r="33" spans="1:6" ht="18.75">
      <c r="A33" s="160" t="s">
        <v>85</v>
      </c>
      <c r="B33" s="10" t="s">
        <v>385</v>
      </c>
      <c r="C33" s="91">
        <v>500</v>
      </c>
      <c r="D33" s="231">
        <v>0</v>
      </c>
      <c r="E33" s="231">
        <v>0</v>
      </c>
      <c r="F33" s="91">
        <f>E33-C33</f>
        <v>-500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v>0</v>
      </c>
      <c r="E34" s="230">
        <v>0</v>
      </c>
      <c r="F34" s="148">
        <f>E34-C34</f>
        <v>-500</v>
      </c>
    </row>
    <row r="35" spans="1:6" ht="18.75" customHeight="1" thickTop="1">
      <c r="A35" s="303"/>
      <c r="B35" s="303"/>
      <c r="C35" s="303"/>
      <c r="D35" s="303"/>
      <c r="E35" s="303"/>
      <c r="F35" s="303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5" t="s">
        <v>55</v>
      </c>
      <c r="B42" s="305"/>
      <c r="C42" s="305"/>
      <c r="D42" s="305"/>
      <c r="E42" s="305"/>
      <c r="F42" s="305"/>
    </row>
    <row r="43" spans="1:6" ht="18.75">
      <c r="A43" s="299" t="s">
        <v>11</v>
      </c>
      <c r="B43" s="300"/>
      <c r="C43" s="301"/>
      <c r="D43" s="301"/>
      <c r="E43" s="301"/>
      <c r="F43" s="302"/>
    </row>
    <row r="44" spans="1:6" ht="18.75">
      <c r="A44" s="298" t="s">
        <v>25</v>
      </c>
      <c r="B44" s="297" t="s">
        <v>3</v>
      </c>
      <c r="C44" s="297" t="s">
        <v>23</v>
      </c>
      <c r="D44" s="297" t="s">
        <v>38</v>
      </c>
      <c r="E44" s="297" t="s">
        <v>39</v>
      </c>
      <c r="F44" s="144" t="s">
        <v>145</v>
      </c>
    </row>
    <row r="45" spans="1:6" ht="18.75">
      <c r="A45" s="298"/>
      <c r="B45" s="297"/>
      <c r="C45" s="297"/>
      <c r="D45" s="297"/>
      <c r="E45" s="297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441</v>
      </c>
      <c r="B48" s="149">
        <v>421001</v>
      </c>
      <c r="C48" s="91">
        <v>124700</v>
      </c>
      <c r="D48" s="91">
        <v>0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440</v>
      </c>
      <c r="B49" s="146">
        <v>421002</v>
      </c>
      <c r="C49" s="91">
        <v>7000000</v>
      </c>
      <c r="D49" s="91">
        <v>629453.45</v>
      </c>
      <c r="E49" s="91">
        <f>597106.1+629453.45</f>
        <v>1226559.5499999998</v>
      </c>
      <c r="F49" s="91">
        <f>E49-C49</f>
        <v>-5773440.45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338154.18</v>
      </c>
      <c r="E50" s="91">
        <f>243846.36+338154.18</f>
        <v>582000.54</v>
      </c>
      <c r="F50" s="91">
        <f aca="true" t="shared" si="1" ref="F50:F56">E50-C50</f>
        <v>-1917999.46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22287.59</v>
      </c>
      <c r="E51" s="91">
        <f>22287.59</f>
        <v>22287.59</v>
      </c>
      <c r="F51" s="91">
        <f t="shared" si="1"/>
        <v>-102712.41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94860.59</v>
      </c>
      <c r="E52" s="91">
        <f>92743.06+94860.59</f>
        <v>187603.65</v>
      </c>
      <c r="F52" s="91">
        <f t="shared" si="1"/>
        <v>-1132396.35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298319.8</v>
      </c>
      <c r="E53" s="91">
        <f>137419.53+298319.8</f>
        <v>435739.32999999996</v>
      </c>
      <c r="F53" s="91">
        <f t="shared" si="1"/>
        <v>-1264260.67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0</v>
      </c>
      <c r="E54" s="91">
        <v>0</v>
      </c>
      <c r="F54" s="91">
        <f t="shared" si="1"/>
        <v>-15000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0</v>
      </c>
      <c r="E55" s="91">
        <f>22045.19</f>
        <v>22045.19</v>
      </c>
      <c r="F55" s="91">
        <f t="shared" si="1"/>
        <v>-50954.81</v>
      </c>
    </row>
    <row r="56" spans="1:6" ht="18.75">
      <c r="A56" s="160" t="s">
        <v>141</v>
      </c>
      <c r="B56" s="146">
        <v>421015</v>
      </c>
      <c r="C56" s="91">
        <v>350000</v>
      </c>
      <c r="D56" s="91">
        <v>0</v>
      </c>
      <c r="E56" s="91">
        <f>20975</f>
        <v>20975</v>
      </c>
      <c r="F56" s="91">
        <f t="shared" si="1"/>
        <v>-329025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1383075.6099999999</v>
      </c>
      <c r="E57" s="148">
        <f>SUM(E48:E56)</f>
        <v>2633494.89</v>
      </c>
      <c r="F57" s="148">
        <f>SUM(F48:F56)</f>
        <v>-10574205.110000001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362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229">
        <v>902080</v>
      </c>
      <c r="E60" s="91">
        <f>902080</f>
        <v>902080</v>
      </c>
      <c r="F60" s="91">
        <f>E60-C60</f>
        <v>-7397320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230">
        <f>SUM(D60:D61)</f>
        <v>902080</v>
      </c>
      <c r="E62" s="148">
        <f>SUM(E60:E61)</f>
        <v>902080</v>
      </c>
      <c r="F62" s="148">
        <f>SUM(F60:F61)</f>
        <v>-7397320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SUM(D12,D23,D26,D31,D57,D62)</f>
        <v>2292102.29</v>
      </c>
      <c r="E63" s="155">
        <f>SUM(E12,E23,E26,E31,E57,E62)</f>
        <v>3572730.31</v>
      </c>
      <c r="F63" s="155">
        <f>E63-C63</f>
        <v>-18850119.69</v>
      </c>
    </row>
    <row r="64" spans="1:6" ht="18.75">
      <c r="A64" s="166" t="s">
        <v>491</v>
      </c>
      <c r="B64" s="146">
        <v>440000</v>
      </c>
      <c r="C64" s="150"/>
      <c r="D64" s="150"/>
      <c r="E64" s="150"/>
      <c r="F64" s="150"/>
    </row>
    <row r="65" spans="1:6" ht="18.75">
      <c r="A65" s="159" t="s">
        <v>492</v>
      </c>
      <c r="B65" s="154">
        <v>441000</v>
      </c>
      <c r="C65" s="91"/>
      <c r="D65" s="91"/>
      <c r="E65" s="91"/>
      <c r="F65" s="91"/>
    </row>
    <row r="66" spans="1:6" ht="18.75">
      <c r="A66" s="160" t="s">
        <v>493</v>
      </c>
      <c r="B66" s="146">
        <v>441001</v>
      </c>
      <c r="C66" s="91"/>
      <c r="D66" s="91">
        <v>62685</v>
      </c>
      <c r="E66" s="91">
        <f>62685</f>
        <v>62685</v>
      </c>
      <c r="F66" s="91">
        <f>62685</f>
        <v>62685</v>
      </c>
    </row>
    <row r="67" spans="1:6" ht="18.75">
      <c r="A67" s="160" t="s">
        <v>494</v>
      </c>
      <c r="B67" s="146">
        <v>441001</v>
      </c>
      <c r="C67" s="91"/>
      <c r="D67" s="91">
        <v>71400</v>
      </c>
      <c r="E67" s="91">
        <f>71400</f>
        <v>71400</v>
      </c>
      <c r="F67" s="91">
        <f>71400</f>
        <v>71400</v>
      </c>
    </row>
    <row r="68" spans="1:6" ht="18.75">
      <c r="A68" s="160" t="s">
        <v>495</v>
      </c>
      <c r="B68" s="146"/>
      <c r="C68" s="91"/>
      <c r="D68" s="91"/>
      <c r="E68" s="91"/>
      <c r="F68" s="91"/>
    </row>
    <row r="69" spans="1:6" ht="18.75">
      <c r="A69" s="160" t="s">
        <v>496</v>
      </c>
      <c r="B69" s="146">
        <v>441002</v>
      </c>
      <c r="C69" s="91"/>
      <c r="D69" s="91">
        <v>291000</v>
      </c>
      <c r="E69" s="91">
        <f>291000</f>
        <v>291000</v>
      </c>
      <c r="F69" s="91">
        <f>291000</f>
        <v>291000</v>
      </c>
    </row>
    <row r="70" spans="1:6" ht="18.75">
      <c r="A70" s="160" t="s">
        <v>497</v>
      </c>
      <c r="B70" s="146">
        <v>441003</v>
      </c>
      <c r="C70" s="91"/>
      <c r="D70" s="91">
        <v>1049248</v>
      </c>
      <c r="E70" s="91">
        <f>1049248</f>
        <v>1049248</v>
      </c>
      <c r="F70" s="91">
        <f>1049248</f>
        <v>1049248</v>
      </c>
    </row>
    <row r="71" spans="1:6" ht="18.75">
      <c r="A71" s="160" t="s">
        <v>498</v>
      </c>
      <c r="B71" s="146">
        <v>441004</v>
      </c>
      <c r="C71" s="91"/>
      <c r="D71" s="91">
        <v>1770600</v>
      </c>
      <c r="E71" s="91">
        <f>1770600</f>
        <v>1770600</v>
      </c>
      <c r="F71" s="91">
        <f>1770600</f>
        <v>1770600</v>
      </c>
    </row>
    <row r="72" spans="1:6" ht="18.75">
      <c r="A72" s="160"/>
      <c r="B72" s="146"/>
      <c r="C72" s="91"/>
      <c r="D72" s="91"/>
      <c r="E72" s="91"/>
      <c r="F72" s="91"/>
    </row>
    <row r="73" spans="1:6" ht="18.75">
      <c r="A73" s="160"/>
      <c r="B73" s="146"/>
      <c r="C73" s="91"/>
      <c r="D73" s="91"/>
      <c r="E73" s="91"/>
      <c r="F73" s="91"/>
    </row>
    <row r="74" spans="1:6" ht="18.75">
      <c r="A74" s="160"/>
      <c r="B74" s="146"/>
      <c r="C74" s="91"/>
      <c r="D74" s="91"/>
      <c r="E74" s="91"/>
      <c r="F74" s="91"/>
    </row>
    <row r="75" spans="1:6" ht="19.5" thickBot="1">
      <c r="A75" s="161" t="s">
        <v>20</v>
      </c>
      <c r="B75" s="146"/>
      <c r="C75" s="148">
        <f>SUM(C66)</f>
        <v>0</v>
      </c>
      <c r="D75" s="148">
        <f>SUM(D66:D71)</f>
        <v>3244933</v>
      </c>
      <c r="E75" s="148">
        <f>SUM(E66:E71)</f>
        <v>3244933</v>
      </c>
      <c r="F75" s="148">
        <f>SUM(F66:F71)</f>
        <v>3244933</v>
      </c>
    </row>
    <row r="76" ht="18" thickTop="1"/>
  </sheetData>
  <sheetProtection/>
  <mergeCells count="17"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  <mergeCell ref="D5:D6"/>
    <mergeCell ref="E5:E6"/>
    <mergeCell ref="A5:A6"/>
    <mergeCell ref="A43:F43"/>
    <mergeCell ref="A35:F35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3">
      <selection activeCell="A20" sqref="A20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4" t="s">
        <v>60</v>
      </c>
      <c r="B1" s="274"/>
      <c r="C1" s="274"/>
    </row>
    <row r="2" spans="1:3" ht="18" customHeight="1">
      <c r="A2" s="274" t="s">
        <v>61</v>
      </c>
      <c r="B2" s="274"/>
      <c r="C2" s="274"/>
    </row>
    <row r="3" spans="1:3" ht="18" customHeight="1">
      <c r="A3" s="306" t="s">
        <v>515</v>
      </c>
      <c r="B3" s="306"/>
      <c r="C3" s="306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1390022.29</v>
      </c>
      <c r="C6" s="55">
        <f>1280628.02+1390022.29</f>
        <v>2670650.31</v>
      </c>
    </row>
    <row r="7" spans="1:3" ht="18" customHeight="1">
      <c r="A7" s="56" t="s">
        <v>516</v>
      </c>
      <c r="B7" s="55">
        <v>902080</v>
      </c>
      <c r="C7" s="55">
        <f>902080</f>
        <v>902080</v>
      </c>
    </row>
    <row r="8" spans="1:3" ht="18" customHeight="1">
      <c r="A8" s="56" t="s">
        <v>517</v>
      </c>
      <c r="B8" s="55">
        <v>3244933</v>
      </c>
      <c r="C8" s="55">
        <f>3244933</f>
        <v>3244933</v>
      </c>
    </row>
    <row r="9" spans="1:3" ht="18" customHeight="1">
      <c r="A9" s="56" t="s">
        <v>63</v>
      </c>
      <c r="B9" s="55">
        <v>116317.61</v>
      </c>
      <c r="C9" s="55">
        <f>329439.05+116317.61</f>
        <v>445756.66</v>
      </c>
    </row>
    <row r="10" spans="1:3" ht="18" customHeight="1">
      <c r="A10" s="56" t="s">
        <v>464</v>
      </c>
      <c r="B10" s="55">
        <v>1672471.81</v>
      </c>
      <c r="C10" s="55">
        <f>26532.93+1672471.81</f>
        <v>1699004.74</v>
      </c>
    </row>
    <row r="11" spans="1:3" ht="18" customHeight="1" thickBot="1">
      <c r="A11" s="57" t="s">
        <v>20</v>
      </c>
      <c r="B11" s="59">
        <f>SUM(B6:B10)</f>
        <v>7325824.710000001</v>
      </c>
      <c r="C11" s="59">
        <f>SUM(C6:C10)</f>
        <v>8962424.71</v>
      </c>
    </row>
    <row r="12" spans="1:3" ht="18" customHeight="1" thickTop="1">
      <c r="A12" s="61" t="s">
        <v>34</v>
      </c>
      <c r="B12" s="92"/>
      <c r="C12" s="55"/>
    </row>
    <row r="13" spans="1:3" ht="18" customHeight="1">
      <c r="A13" s="56" t="s">
        <v>465</v>
      </c>
      <c r="B13" s="44">
        <v>1370346.75</v>
      </c>
      <c r="C13" s="55">
        <f>1046430.57+1370346.75</f>
        <v>2416777.32</v>
      </c>
    </row>
    <row r="14" spans="1:3" ht="18" customHeight="1">
      <c r="A14" s="56" t="s">
        <v>466</v>
      </c>
      <c r="B14" s="44">
        <v>1002400</v>
      </c>
      <c r="C14" s="55">
        <f>773300+1002400</f>
        <v>1775700</v>
      </c>
    </row>
    <row r="15" spans="1:3" ht="18" customHeight="1">
      <c r="A15" s="56" t="s">
        <v>64</v>
      </c>
      <c r="B15" s="55">
        <v>323778.5</v>
      </c>
      <c r="C15" s="55">
        <f>41839.36+323778.5</f>
        <v>365617.86</v>
      </c>
    </row>
    <row r="16" spans="1:3" ht="18" customHeight="1">
      <c r="A16" s="56" t="s">
        <v>518</v>
      </c>
      <c r="B16" s="55">
        <v>1387600</v>
      </c>
      <c r="C16" s="55">
        <f>1387600</f>
        <v>1387600</v>
      </c>
    </row>
    <row r="17" spans="1:3" ht="18" customHeight="1">
      <c r="A17" s="56" t="s">
        <v>131</v>
      </c>
      <c r="B17" s="55">
        <v>0</v>
      </c>
      <c r="C17" s="55">
        <f>1426375.52</f>
        <v>1426375.52</v>
      </c>
    </row>
    <row r="18" spans="1:3" ht="18" customHeight="1" thickBot="1">
      <c r="A18" s="57" t="s">
        <v>20</v>
      </c>
      <c r="B18" s="59">
        <f>SUM(B13:B17)</f>
        <v>4084125.25</v>
      </c>
      <c r="C18" s="59">
        <f>SUM(C13:C17)</f>
        <v>7372070.699999999</v>
      </c>
    </row>
    <row r="19" spans="1:3" ht="18" customHeight="1" thickBot="1" thickTop="1">
      <c r="A19" s="57" t="s">
        <v>65</v>
      </c>
      <c r="B19" s="59">
        <f>B11-B18</f>
        <v>3241699.460000001</v>
      </c>
      <c r="C19" s="59">
        <f>C11-C18</f>
        <v>1590354.0100000016</v>
      </c>
    </row>
    <row r="20" spans="1:3" ht="18" customHeight="1" thickTop="1">
      <c r="A20" s="256"/>
      <c r="B20" s="257"/>
      <c r="C20" s="257"/>
    </row>
    <row r="21" spans="1:5" ht="18" customHeight="1">
      <c r="A21" s="6" t="s">
        <v>12</v>
      </c>
      <c r="B21" s="16"/>
      <c r="C21" s="22"/>
      <c r="D21" s="22"/>
      <c r="E21" s="22"/>
    </row>
    <row r="22" spans="1:5" ht="18" customHeight="1">
      <c r="A22" s="48" t="s">
        <v>13</v>
      </c>
      <c r="B22" s="16"/>
      <c r="C22" s="22"/>
      <c r="D22" s="22"/>
      <c r="E22" s="21"/>
    </row>
    <row r="23" spans="1:5" ht="18" customHeight="1">
      <c r="A23" s="48"/>
      <c r="B23" s="16"/>
      <c r="C23" s="22"/>
      <c r="D23" s="22"/>
      <c r="E23" s="21"/>
    </row>
    <row r="24" spans="1:5" ht="18" customHeight="1">
      <c r="A24" s="289" t="s">
        <v>66</v>
      </c>
      <c r="B24" s="289"/>
      <c r="C24" s="289"/>
      <c r="D24" s="17"/>
      <c r="E24" s="17"/>
    </row>
    <row r="25" spans="1:5" ht="18" customHeight="1">
      <c r="A25" s="289" t="s">
        <v>96</v>
      </c>
      <c r="B25" s="289"/>
      <c r="C25" s="289"/>
      <c r="D25" s="17"/>
      <c r="E25" s="17"/>
    </row>
    <row r="26" spans="1:5" ht="18" customHeight="1">
      <c r="A26" s="289" t="s">
        <v>14</v>
      </c>
      <c r="B26" s="289"/>
      <c r="C26" s="289"/>
      <c r="D26" s="17"/>
      <c r="E26" s="17"/>
    </row>
    <row r="27" spans="1:5" ht="18" customHeight="1">
      <c r="A27" s="6"/>
      <c r="B27" s="16"/>
      <c r="C27" s="22"/>
      <c r="D27" s="22"/>
      <c r="E27" s="6"/>
    </row>
    <row r="28" spans="1:5" s="1" customFormat="1" ht="18" customHeight="1">
      <c r="A28" s="289" t="s">
        <v>132</v>
      </c>
      <c r="B28" s="289"/>
      <c r="C28" s="289"/>
      <c r="D28" s="17"/>
      <c r="E28" s="17"/>
    </row>
    <row r="29" spans="1:5" s="1" customFormat="1" ht="18" customHeight="1">
      <c r="A29" s="289" t="s">
        <v>15</v>
      </c>
      <c r="B29" s="289"/>
      <c r="C29" s="289"/>
      <c r="D29" s="17"/>
      <c r="E29" s="17"/>
    </row>
    <row r="30" spans="1:5" s="1" customFormat="1" ht="18" customHeight="1">
      <c r="A30" s="290">
        <v>240300</v>
      </c>
      <c r="B30" s="290"/>
      <c r="C30" s="290"/>
      <c r="D30" s="17"/>
      <c r="E30" s="17"/>
    </row>
  </sheetData>
  <sheetProtection/>
  <mergeCells count="9">
    <mergeCell ref="A30:C30"/>
    <mergeCell ref="A25:C25"/>
    <mergeCell ref="A26:C26"/>
    <mergeCell ref="A28:C28"/>
    <mergeCell ref="A29:C29"/>
    <mergeCell ref="A1:C1"/>
    <mergeCell ref="A2:C2"/>
    <mergeCell ref="A3:C3"/>
    <mergeCell ref="A24:C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8">
      <selection activeCell="C29" sqref="C29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7" t="s">
        <v>67</v>
      </c>
      <c r="B2" s="307"/>
      <c r="C2" s="307"/>
      <c r="D2" s="307"/>
      <c r="E2" s="307"/>
      <c r="F2" s="307"/>
      <c r="G2" s="313" t="s">
        <v>68</v>
      </c>
      <c r="H2" s="307"/>
      <c r="I2" s="307"/>
      <c r="J2" s="307"/>
    </row>
    <row r="3" spans="1:10" ht="23.25">
      <c r="A3" s="307" t="s">
        <v>69</v>
      </c>
      <c r="B3" s="307"/>
      <c r="C3" s="307"/>
      <c r="D3" s="307"/>
      <c r="E3" s="307"/>
      <c r="F3" s="307"/>
      <c r="G3" s="313" t="s">
        <v>94</v>
      </c>
      <c r="H3" s="307"/>
      <c r="I3" s="307"/>
      <c r="J3" s="307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520</v>
      </c>
      <c r="B5" s="315"/>
      <c r="C5" s="315"/>
      <c r="D5" s="315"/>
      <c r="E5" s="315"/>
      <c r="F5" s="316"/>
      <c r="G5" s="66"/>
      <c r="H5" s="66"/>
      <c r="I5" s="66"/>
      <c r="J5" s="67">
        <v>6332313.48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0" t="s">
        <v>70</v>
      </c>
      <c r="B8" s="310"/>
      <c r="C8" s="310"/>
      <c r="D8" s="310"/>
      <c r="E8" s="310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471</v>
      </c>
      <c r="B10" s="70"/>
      <c r="C10" s="97" t="s">
        <v>472</v>
      </c>
      <c r="D10" s="70"/>
      <c r="E10" s="70"/>
      <c r="F10" s="71">
        <v>267</v>
      </c>
      <c r="G10" s="66"/>
      <c r="H10" s="66"/>
      <c r="I10" s="66"/>
      <c r="J10" s="67"/>
    </row>
    <row r="11" spans="1:10" ht="23.25">
      <c r="A11" s="97" t="s">
        <v>521</v>
      </c>
      <c r="B11" s="70"/>
      <c r="C11" s="97" t="s">
        <v>522</v>
      </c>
      <c r="D11" s="70"/>
      <c r="E11" s="70"/>
      <c r="F11" s="72">
        <v>19641.6</v>
      </c>
      <c r="G11" s="66"/>
      <c r="H11" s="66"/>
      <c r="I11" s="66"/>
      <c r="J11" s="73"/>
    </row>
    <row r="12" spans="1:10" ht="23.25">
      <c r="A12" s="97" t="s">
        <v>523</v>
      </c>
      <c r="B12" s="70"/>
      <c r="C12" s="97" t="s">
        <v>524</v>
      </c>
      <c r="D12" s="70"/>
      <c r="E12" s="70"/>
      <c r="F12" s="72">
        <v>3000</v>
      </c>
      <c r="G12" s="66"/>
      <c r="H12" s="66"/>
      <c r="I12" s="66"/>
      <c r="J12" s="67"/>
    </row>
    <row r="13" spans="1:10" ht="23.25">
      <c r="A13" s="97" t="s">
        <v>525</v>
      </c>
      <c r="B13" s="70"/>
      <c r="C13" s="97" t="s">
        <v>526</v>
      </c>
      <c r="D13" s="70"/>
      <c r="E13" s="70"/>
      <c r="F13" s="72">
        <v>100</v>
      </c>
      <c r="G13" s="66"/>
      <c r="H13" s="66"/>
      <c r="I13" s="66"/>
      <c r="J13" s="67"/>
    </row>
    <row r="14" spans="1:10" ht="23.25">
      <c r="A14" s="97" t="s">
        <v>535</v>
      </c>
      <c r="B14" s="70"/>
      <c r="C14" s="97" t="s">
        <v>536</v>
      </c>
      <c r="D14" s="70"/>
      <c r="E14" s="70"/>
      <c r="F14" s="72">
        <v>3574.5</v>
      </c>
      <c r="G14" s="66"/>
      <c r="H14" s="66"/>
      <c r="I14" s="66"/>
      <c r="J14" s="67"/>
    </row>
    <row r="15" spans="1:10" ht="23.25">
      <c r="A15" s="97" t="s">
        <v>527</v>
      </c>
      <c r="B15" s="70"/>
      <c r="C15" s="97" t="s">
        <v>528</v>
      </c>
      <c r="D15" s="70"/>
      <c r="E15" s="70"/>
      <c r="F15" s="72">
        <v>1152</v>
      </c>
      <c r="G15" s="66"/>
      <c r="H15" s="66"/>
      <c r="I15" s="66"/>
      <c r="J15" s="67"/>
    </row>
    <row r="16" spans="1:10" ht="23.25">
      <c r="A16" s="97" t="s">
        <v>529</v>
      </c>
      <c r="B16" s="70"/>
      <c r="C16" s="97" t="s">
        <v>530</v>
      </c>
      <c r="D16" s="70"/>
      <c r="E16" s="70"/>
      <c r="F16" s="72">
        <v>142900</v>
      </c>
      <c r="G16" s="66"/>
      <c r="H16" s="66"/>
      <c r="I16" s="66"/>
      <c r="J16" s="67"/>
    </row>
    <row r="17" spans="1:10" ht="23.25">
      <c r="A17" s="97" t="s">
        <v>531</v>
      </c>
      <c r="B17" s="70"/>
      <c r="C17" s="97" t="s">
        <v>532</v>
      </c>
      <c r="D17" s="70"/>
      <c r="E17" s="70"/>
      <c r="F17" s="72">
        <v>10326.7</v>
      </c>
      <c r="G17" s="66"/>
      <c r="H17" s="66"/>
      <c r="I17" s="66"/>
      <c r="J17" s="67"/>
    </row>
    <row r="18" spans="1:10" ht="23.25">
      <c r="A18" s="97"/>
      <c r="B18" s="70"/>
      <c r="C18" s="97" t="s">
        <v>533</v>
      </c>
      <c r="D18" s="70"/>
      <c r="E18" s="70"/>
      <c r="F18" s="72">
        <v>40000</v>
      </c>
      <c r="G18" s="66"/>
      <c r="H18" s="66"/>
      <c r="I18" s="66"/>
      <c r="J18" s="67"/>
    </row>
    <row r="19" spans="1:10" ht="23.25">
      <c r="A19" s="96"/>
      <c r="B19" s="70"/>
      <c r="C19" s="97" t="s">
        <v>534</v>
      </c>
      <c r="D19" s="70"/>
      <c r="E19" s="70"/>
      <c r="F19" s="72">
        <v>2819.5</v>
      </c>
      <c r="G19" s="66"/>
      <c r="H19" s="66"/>
      <c r="I19" s="66"/>
      <c r="J19" s="232">
        <v>223781.3</v>
      </c>
    </row>
    <row r="20" spans="1:10" ht="23.25">
      <c r="A20" s="70"/>
      <c r="B20" s="70"/>
      <c r="C20" s="97"/>
      <c r="D20" s="70"/>
      <c r="E20" s="70"/>
      <c r="F20" s="23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2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7" t="s">
        <v>537</v>
      </c>
      <c r="B26" s="317"/>
      <c r="C26" s="317"/>
      <c r="D26" s="317"/>
      <c r="E26" s="317"/>
      <c r="F26" s="318"/>
      <c r="G26" s="66"/>
      <c r="H26" s="66"/>
      <c r="I26" s="66"/>
      <c r="J26" s="67">
        <f>SUM(J5-J19)</f>
        <v>6108532.180000001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74</v>
      </c>
      <c r="B28" s="75"/>
      <c r="C28" s="98"/>
      <c r="D28" s="75"/>
      <c r="E28" s="75"/>
      <c r="F28" s="76"/>
      <c r="G28" s="314" t="s">
        <v>75</v>
      </c>
      <c r="H28" s="315"/>
      <c r="I28" s="315"/>
      <c r="J28" s="315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1" t="s">
        <v>538</v>
      </c>
      <c r="B30" s="311"/>
      <c r="C30" s="311"/>
      <c r="D30" s="311"/>
      <c r="E30" s="311"/>
      <c r="F30" s="312"/>
      <c r="G30" s="313" t="s">
        <v>539</v>
      </c>
      <c r="H30" s="307"/>
      <c r="I30" s="307"/>
      <c r="J30" s="307"/>
      <c r="K30" s="68"/>
    </row>
    <row r="31" spans="1:10" ht="23.25">
      <c r="A31" s="307" t="s">
        <v>98</v>
      </c>
      <c r="B31" s="307"/>
      <c r="C31" s="307"/>
      <c r="D31" s="307"/>
      <c r="E31" s="68"/>
      <c r="F31" s="72"/>
      <c r="G31" s="308" t="s">
        <v>93</v>
      </c>
      <c r="H31" s="309"/>
      <c r="I31" s="309"/>
      <c r="J31" s="309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G2:J2"/>
    <mergeCell ref="A3:F3"/>
    <mergeCell ref="G3:J3"/>
    <mergeCell ref="A5:F5"/>
    <mergeCell ref="A2:F2"/>
    <mergeCell ref="A26:F26"/>
    <mergeCell ref="A31:D31"/>
    <mergeCell ref="G31:J31"/>
    <mergeCell ref="A8:E8"/>
    <mergeCell ref="A30:F30"/>
    <mergeCell ref="G30:J30"/>
    <mergeCell ref="G28:J28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2014-12-04T10:32:34Z</cp:lastPrinted>
  <dcterms:created xsi:type="dcterms:W3CDTF">1996-10-14T23:33:28Z</dcterms:created>
  <dcterms:modified xsi:type="dcterms:W3CDTF">2014-12-07T07:10:24Z</dcterms:modified>
  <cp:category/>
  <cp:version/>
  <cp:contentType/>
  <cp:contentStatus/>
</cp:coreProperties>
</file>